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23040" windowHeight="8460" activeTab="5"/>
  </bookViews>
  <sheets>
    <sheet name="Форма 1" sheetId="1" r:id="rId1"/>
    <sheet name="Форма 2 " sheetId="9" r:id="rId2"/>
    <sheet name="Форма 3" sheetId="5" r:id="rId3"/>
    <sheet name="Форма 4" sheetId="6" r:id="rId4"/>
    <sheet name="Форма 5" sheetId="7" r:id="rId5"/>
    <sheet name="Форма 6" sheetId="8" r:id="rId6"/>
  </sheets>
  <externalReferences>
    <externalReference r:id="rId7"/>
    <externalReference r:id="rId8"/>
  </externalReferences>
  <definedNames>
    <definedName name="_xlnm._FilterDatabase" localSheetId="0" hidden="1">'Форма 1'!$A$4:$S$82</definedName>
    <definedName name="_xlnm._FilterDatabase" localSheetId="1" hidden="1">'Форма 2 '!$A$4:$K$85</definedName>
    <definedName name="OLE_LINK1" localSheetId="0">'Форма 1'!#REF!</definedName>
    <definedName name="_xlnm.Print_Titles" localSheetId="0">'Форма 1'!$4:$7</definedName>
    <definedName name="_xlnm.Print_Titles" localSheetId="1">'Форма 2 '!$3:$7</definedName>
    <definedName name="_xlnm.Print_Titles" localSheetId="2">'Форма 3'!$5:$6</definedName>
    <definedName name="_xlnm.Print_Titles" localSheetId="3">'Форма 4'!$5:$6</definedName>
    <definedName name="_xlnm.Print_Titles" localSheetId="4">'Форма 5'!$5:$6</definedName>
    <definedName name="_xlnm.Print_Titles" localSheetId="5">'Форма 6'!$5:$7</definedName>
  </definedNames>
  <calcPr calcId="145621"/>
</workbook>
</file>

<file path=xl/calcChain.xml><?xml version="1.0" encoding="utf-8"?>
<calcChain xmlns="http://schemas.openxmlformats.org/spreadsheetml/2006/main">
  <c r="H79" i="6" l="1"/>
  <c r="H64" i="6"/>
  <c r="H65" i="6"/>
  <c r="H42" i="6"/>
  <c r="E79" i="5" l="1"/>
  <c r="H82" i="9" l="1"/>
  <c r="F82" i="9"/>
  <c r="H80" i="6" l="1"/>
  <c r="E80" i="6"/>
  <c r="F78" i="7" l="1"/>
  <c r="F77" i="7"/>
  <c r="C77" i="7"/>
  <c r="F76" i="7"/>
  <c r="C76" i="7"/>
  <c r="F75" i="7"/>
  <c r="C75" i="7"/>
  <c r="F74" i="7"/>
  <c r="C74" i="7"/>
  <c r="F73" i="7"/>
  <c r="C73" i="7"/>
  <c r="F8" i="8" l="1"/>
  <c r="C23" i="7"/>
  <c r="C79" i="7" s="1"/>
  <c r="D79" i="7"/>
  <c r="P81" i="6"/>
  <c r="P79" i="6"/>
  <c r="N79" i="6"/>
  <c r="N81" i="6" s="1"/>
  <c r="C81" i="6"/>
  <c r="J72" i="6"/>
  <c r="J71" i="6"/>
  <c r="J69" i="6"/>
  <c r="J68" i="6"/>
  <c r="J67" i="6"/>
  <c r="J64" i="6"/>
  <c r="J63" i="6"/>
  <c r="J72" i="5" l="1"/>
  <c r="K72" i="5" s="1"/>
  <c r="F72" i="5"/>
  <c r="K71" i="5"/>
  <c r="J71" i="5"/>
  <c r="F71" i="5"/>
  <c r="J70" i="5"/>
  <c r="K70" i="5" s="1"/>
  <c r="F70" i="5"/>
  <c r="K69" i="5"/>
  <c r="J69" i="5"/>
  <c r="F69" i="5"/>
  <c r="J68" i="5"/>
  <c r="K68" i="5" s="1"/>
  <c r="F68" i="5"/>
  <c r="K67" i="5"/>
  <c r="J67" i="5"/>
  <c r="F67" i="5"/>
  <c r="J66" i="5"/>
  <c r="K66" i="5" s="1"/>
  <c r="F66" i="5"/>
  <c r="K65" i="5"/>
  <c r="J65" i="5"/>
  <c r="F65" i="5"/>
  <c r="J64" i="5"/>
  <c r="K64" i="5" s="1"/>
  <c r="F64" i="5"/>
  <c r="K63" i="5"/>
  <c r="J63" i="5"/>
  <c r="F63" i="5"/>
  <c r="J62" i="5"/>
  <c r="K62" i="5" s="1"/>
  <c r="F62" i="5"/>
  <c r="K61" i="5"/>
  <c r="J61" i="5"/>
  <c r="F61" i="5"/>
  <c r="J60" i="5"/>
  <c r="K60" i="5" s="1"/>
  <c r="F60" i="5"/>
  <c r="K59" i="5"/>
  <c r="J59" i="5"/>
  <c r="F59" i="5"/>
  <c r="J58" i="5"/>
  <c r="K58" i="5" s="1"/>
  <c r="F58" i="5"/>
  <c r="K57" i="5"/>
  <c r="J57" i="5"/>
  <c r="F57" i="5"/>
  <c r="J56" i="5"/>
  <c r="K56" i="5" s="1"/>
  <c r="F56" i="5"/>
  <c r="K55" i="5"/>
  <c r="J55" i="5"/>
  <c r="F55" i="5"/>
  <c r="J54" i="5"/>
  <c r="K54" i="5" s="1"/>
  <c r="F54" i="5"/>
  <c r="K53" i="5"/>
  <c r="J53" i="5"/>
  <c r="F53" i="5"/>
  <c r="J52" i="5"/>
  <c r="K52" i="5" s="1"/>
  <c r="F52" i="5"/>
  <c r="K51" i="5"/>
  <c r="J51" i="5"/>
  <c r="F51" i="5"/>
  <c r="J50" i="5"/>
  <c r="K50" i="5" s="1"/>
  <c r="F50" i="5"/>
  <c r="K49" i="5"/>
  <c r="J49" i="5"/>
  <c r="F49" i="5"/>
  <c r="J48" i="5"/>
  <c r="K48" i="5" s="1"/>
  <c r="F48" i="5"/>
  <c r="K47" i="5"/>
  <c r="J47" i="5"/>
  <c r="F47" i="5"/>
  <c r="J46" i="5"/>
  <c r="K46" i="5" s="1"/>
  <c r="F46" i="5"/>
  <c r="K45" i="5"/>
  <c r="J45" i="5"/>
  <c r="F45" i="5"/>
  <c r="J44" i="5"/>
  <c r="K44" i="5" s="1"/>
  <c r="F44" i="5"/>
  <c r="K43" i="5"/>
  <c r="J43" i="5"/>
  <c r="F43" i="5"/>
  <c r="J42" i="5"/>
  <c r="K42" i="5" s="1"/>
  <c r="F42" i="5"/>
  <c r="K41" i="5"/>
  <c r="J41" i="5"/>
  <c r="F41" i="5"/>
  <c r="J40" i="5"/>
  <c r="K40" i="5" s="1"/>
  <c r="F40" i="5"/>
  <c r="K39" i="5"/>
  <c r="J39" i="5"/>
  <c r="F39" i="5"/>
  <c r="J38" i="5"/>
  <c r="K38" i="5" s="1"/>
  <c r="F38" i="5"/>
  <c r="K37" i="5"/>
  <c r="J37" i="5"/>
  <c r="F37" i="5"/>
  <c r="J36" i="5"/>
  <c r="K36" i="5" s="1"/>
  <c r="F36" i="5"/>
  <c r="K35" i="5"/>
  <c r="J35" i="5"/>
  <c r="F35" i="5"/>
  <c r="J34" i="5"/>
  <c r="K34" i="5" s="1"/>
  <c r="F34" i="5"/>
  <c r="K33" i="5"/>
  <c r="J33" i="5"/>
  <c r="F33" i="5"/>
  <c r="J32" i="5"/>
  <c r="K32" i="5" s="1"/>
  <c r="F32" i="5"/>
  <c r="K31" i="5"/>
  <c r="J31" i="5"/>
  <c r="F31" i="5"/>
  <c r="J30" i="5"/>
  <c r="K30" i="5" s="1"/>
  <c r="F30" i="5"/>
  <c r="K29" i="5"/>
  <c r="J29" i="5"/>
  <c r="F29" i="5"/>
  <c r="J28" i="5"/>
  <c r="K28" i="5" s="1"/>
  <c r="F28" i="5"/>
  <c r="K27" i="5"/>
  <c r="J27" i="5"/>
  <c r="F27" i="5"/>
  <c r="J26" i="5"/>
  <c r="K26" i="5" s="1"/>
  <c r="F26" i="5"/>
  <c r="K25" i="5"/>
  <c r="J25" i="5"/>
  <c r="F25" i="5"/>
  <c r="J24" i="5"/>
  <c r="K24" i="5" s="1"/>
  <c r="F24" i="5"/>
  <c r="K23" i="5"/>
  <c r="J23" i="5"/>
  <c r="F23" i="5"/>
  <c r="J22" i="5"/>
  <c r="K22" i="5" s="1"/>
  <c r="F22" i="5"/>
  <c r="K21" i="5"/>
  <c r="J21" i="5"/>
  <c r="F21" i="5"/>
  <c r="J20" i="5"/>
  <c r="K20" i="5" s="1"/>
  <c r="F20" i="5"/>
  <c r="K19" i="5"/>
  <c r="J19" i="5"/>
  <c r="F19" i="5"/>
  <c r="J18" i="5"/>
  <c r="K18" i="5" s="1"/>
  <c r="F18" i="5"/>
  <c r="K17" i="5"/>
  <c r="J17" i="5"/>
  <c r="F17" i="5"/>
  <c r="J16" i="5"/>
  <c r="K16" i="5" s="1"/>
  <c r="F16" i="5"/>
  <c r="K15" i="5"/>
  <c r="J15" i="5"/>
  <c r="F15" i="5"/>
  <c r="J14" i="5"/>
  <c r="K14" i="5" s="1"/>
  <c r="F14" i="5"/>
  <c r="K13" i="5"/>
  <c r="J13" i="5"/>
  <c r="F13" i="5"/>
  <c r="J12" i="5"/>
  <c r="K12" i="5" s="1"/>
  <c r="F12" i="5"/>
  <c r="K11" i="5"/>
  <c r="J11" i="5"/>
  <c r="F11" i="5"/>
  <c r="J10" i="5"/>
  <c r="K10" i="5" s="1"/>
  <c r="F10" i="5"/>
  <c r="K9" i="5"/>
  <c r="J9" i="5"/>
  <c r="F9" i="5"/>
  <c r="J8" i="5"/>
  <c r="K8" i="5" s="1"/>
  <c r="F8" i="5"/>
  <c r="K7" i="5"/>
  <c r="J7" i="5"/>
  <c r="F7" i="5"/>
  <c r="R10" i="1"/>
  <c r="R11" i="1"/>
  <c r="R16" i="1"/>
  <c r="R19" i="1"/>
  <c r="R21" i="1"/>
  <c r="R24" i="1"/>
  <c r="R25" i="1"/>
  <c r="R26" i="1"/>
  <c r="R29" i="1"/>
  <c r="R30" i="1"/>
  <c r="R34" i="1"/>
  <c r="R35" i="1"/>
  <c r="R36" i="1"/>
  <c r="R37" i="1"/>
  <c r="R38" i="1"/>
  <c r="R41" i="1"/>
  <c r="R46" i="1"/>
  <c r="R47" i="1"/>
  <c r="R49" i="1"/>
  <c r="R50" i="1"/>
  <c r="R51" i="1"/>
  <c r="R53" i="1"/>
  <c r="R54" i="1"/>
  <c r="R56" i="1"/>
  <c r="R57" i="1"/>
  <c r="R61" i="1"/>
  <c r="R62" i="1"/>
  <c r="R64" i="1"/>
  <c r="R67" i="1"/>
  <c r="R69" i="1"/>
  <c r="R70" i="1"/>
  <c r="R74" i="1"/>
  <c r="R75" i="1"/>
  <c r="R76" i="1"/>
  <c r="R77" i="1"/>
  <c r="R78" i="1"/>
  <c r="R79" i="1"/>
  <c r="Q77" i="1"/>
  <c r="Q78" i="1"/>
  <c r="Q79" i="1"/>
  <c r="Q74" i="1"/>
  <c r="Q75" i="1"/>
  <c r="Q76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8" i="1"/>
  <c r="E73" i="1"/>
  <c r="R73" i="1" s="1"/>
  <c r="E72" i="1"/>
  <c r="R72" i="1" s="1"/>
  <c r="E71" i="1"/>
  <c r="R71" i="1" s="1"/>
  <c r="E69" i="1"/>
  <c r="E68" i="1"/>
  <c r="R68" i="1" s="1"/>
  <c r="E66" i="1"/>
  <c r="R66" i="1" s="1"/>
  <c r="E65" i="1"/>
  <c r="R65" i="1" s="1"/>
  <c r="E63" i="1"/>
  <c r="R63" i="1" s="1"/>
  <c r="E60" i="1"/>
  <c r="R60" i="1" s="1"/>
  <c r="E59" i="1"/>
  <c r="R59" i="1" s="1"/>
  <c r="E58" i="1"/>
  <c r="R58" i="1" s="1"/>
  <c r="E55" i="1"/>
  <c r="R55" i="1" s="1"/>
  <c r="E52" i="1"/>
  <c r="R52" i="1" s="1"/>
  <c r="E48" i="1"/>
  <c r="R48" i="1" s="1"/>
  <c r="E45" i="1"/>
  <c r="R45" i="1" s="1"/>
  <c r="E44" i="1"/>
  <c r="R44" i="1" s="1"/>
  <c r="E43" i="1"/>
  <c r="R43" i="1" s="1"/>
  <c r="E42" i="1"/>
  <c r="R42" i="1" s="1"/>
  <c r="E40" i="1"/>
  <c r="R40" i="1" s="1"/>
  <c r="P39" i="1"/>
  <c r="E39" i="1"/>
  <c r="R39" i="1" s="1"/>
  <c r="E33" i="1"/>
  <c r="R33" i="1" s="1"/>
  <c r="I32" i="1"/>
  <c r="E32" i="1"/>
  <c r="R32" i="1" s="1"/>
  <c r="E31" i="1"/>
  <c r="R31" i="1" s="1"/>
  <c r="E28" i="1"/>
  <c r="R28" i="1" s="1"/>
  <c r="E27" i="1"/>
  <c r="R27" i="1" s="1"/>
  <c r="E23" i="1"/>
  <c r="R23" i="1" s="1"/>
  <c r="K22" i="1"/>
  <c r="I22" i="1"/>
  <c r="E22" i="1"/>
  <c r="E21" i="1"/>
  <c r="K20" i="1"/>
  <c r="E20" i="1"/>
  <c r="R20" i="1" s="1"/>
  <c r="E18" i="1"/>
  <c r="R18" i="1" s="1"/>
  <c r="E17" i="1"/>
  <c r="R17" i="1" s="1"/>
  <c r="E15" i="1"/>
  <c r="R15" i="1" s="1"/>
  <c r="E14" i="1"/>
  <c r="R14" i="1" s="1"/>
  <c r="I13" i="1"/>
  <c r="E13" i="1"/>
  <c r="I12" i="1"/>
  <c r="E12" i="1"/>
  <c r="E9" i="1"/>
  <c r="R9" i="1" s="1"/>
  <c r="E8" i="1"/>
  <c r="R8" i="1" s="1"/>
  <c r="F82" i="1"/>
  <c r="R13" i="1" l="1"/>
  <c r="R22" i="1"/>
  <c r="R12" i="1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J36" i="9"/>
  <c r="J29" i="9"/>
  <c r="J27" i="9"/>
  <c r="J23" i="9"/>
  <c r="J22" i="9"/>
  <c r="J21" i="9"/>
  <c r="J20" i="9"/>
  <c r="I8" i="9"/>
  <c r="E8" i="9" l="1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C8" i="7" l="1"/>
  <c r="C9" i="7"/>
  <c r="C14" i="7"/>
  <c r="C15" i="7"/>
  <c r="C16" i="7"/>
  <c r="C18" i="7"/>
  <c r="C21" i="7"/>
  <c r="C22" i="7"/>
  <c r="C7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F79" i="6" l="1"/>
  <c r="F81" i="6" s="1"/>
  <c r="G79" i="6"/>
  <c r="G81" i="6" s="1"/>
  <c r="D79" i="5" l="1"/>
  <c r="D80" i="9" l="1"/>
  <c r="D82" i="9" s="1"/>
  <c r="D60" i="9"/>
  <c r="D56" i="9"/>
  <c r="D20" i="9"/>
  <c r="K73" i="5" l="1"/>
  <c r="L8" i="7" l="1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" i="7"/>
  <c r="L79" i="6" l="1"/>
  <c r="L81" i="6" s="1"/>
  <c r="M79" i="6"/>
  <c r="M81" i="6" s="1"/>
  <c r="K70" i="6" l="1"/>
  <c r="K73" i="6"/>
  <c r="K74" i="6"/>
  <c r="K75" i="6"/>
  <c r="K76" i="6"/>
  <c r="K77" i="6"/>
  <c r="K78" i="6"/>
  <c r="K65" i="6"/>
  <c r="K61" i="6"/>
  <c r="K57" i="6"/>
  <c r="K58" i="6"/>
  <c r="K53" i="6"/>
  <c r="K54" i="6"/>
  <c r="K51" i="6"/>
  <c r="K46" i="6"/>
  <c r="K47" i="6"/>
  <c r="K44" i="6"/>
  <c r="K40" i="6"/>
  <c r="K16" i="6"/>
  <c r="J73" i="5"/>
  <c r="J74" i="5"/>
  <c r="J75" i="5"/>
  <c r="J76" i="5"/>
  <c r="J77" i="5"/>
  <c r="J78" i="5"/>
  <c r="J79" i="6" l="1"/>
  <c r="J81" i="6" s="1"/>
  <c r="I79" i="6"/>
  <c r="I81" i="6" s="1"/>
  <c r="H78" i="6"/>
  <c r="K8" i="6"/>
  <c r="C79" i="6"/>
  <c r="D79" i="6"/>
  <c r="D81" i="6" s="1"/>
  <c r="K79" i="6" l="1"/>
  <c r="E79" i="6"/>
  <c r="F79" i="5"/>
  <c r="G79" i="5"/>
  <c r="G81" i="5" s="1"/>
  <c r="K9" i="6"/>
  <c r="F78" i="5"/>
  <c r="E9" i="9"/>
  <c r="D80" i="1" l="1"/>
  <c r="D82" i="1" s="1"/>
  <c r="F80" i="9"/>
  <c r="E76" i="6" l="1"/>
  <c r="E77" i="6"/>
  <c r="O73" i="5"/>
  <c r="O74" i="5"/>
  <c r="O75" i="5"/>
  <c r="O76" i="5"/>
  <c r="O77" i="5"/>
  <c r="O78" i="5"/>
  <c r="F73" i="5"/>
  <c r="F74" i="5"/>
  <c r="F75" i="5"/>
  <c r="F76" i="5"/>
  <c r="F77" i="5"/>
  <c r="H72" i="6"/>
  <c r="H74" i="6"/>
  <c r="H75" i="6"/>
  <c r="H76" i="6"/>
  <c r="H77" i="6"/>
  <c r="D80" i="8"/>
  <c r="E80" i="8"/>
  <c r="F80" i="8"/>
  <c r="F82" i="8" s="1"/>
  <c r="G80" i="8"/>
  <c r="H80" i="8"/>
  <c r="C80" i="8"/>
  <c r="C82" i="8" s="1"/>
  <c r="J79" i="7"/>
  <c r="J81" i="7" s="1"/>
  <c r="I79" i="7"/>
  <c r="H79" i="7"/>
  <c r="H81" i="7" s="1"/>
  <c r="G79" i="7"/>
  <c r="F79" i="7"/>
  <c r="F81" i="7" s="1"/>
  <c r="E79" i="7"/>
  <c r="E74" i="6"/>
  <c r="E75" i="6"/>
  <c r="E73" i="6"/>
  <c r="O7" i="5"/>
  <c r="G80" i="9"/>
  <c r="G82" i="9" s="1"/>
  <c r="E70" i="9"/>
  <c r="E68" i="9"/>
  <c r="S74" i="1"/>
  <c r="S79" i="1"/>
  <c r="K74" i="5"/>
  <c r="K75" i="5"/>
  <c r="K76" i="5"/>
  <c r="K77" i="5"/>
  <c r="K78" i="5"/>
  <c r="S75" i="1"/>
  <c r="S76" i="1"/>
  <c r="S77" i="1"/>
  <c r="S78" i="1"/>
  <c r="S8" i="1"/>
  <c r="R79" i="6" l="1"/>
  <c r="Q79" i="6"/>
  <c r="O79" i="6"/>
  <c r="G80" i="1"/>
  <c r="G82" i="1" s="1"/>
  <c r="F80" i="1"/>
  <c r="E80" i="1"/>
  <c r="E82" i="1" s="1"/>
  <c r="H80" i="1"/>
  <c r="H82" i="1" s="1"/>
  <c r="I80" i="1"/>
  <c r="I82" i="1" s="1"/>
  <c r="J80" i="1"/>
  <c r="J82" i="1" s="1"/>
  <c r="K80" i="1"/>
  <c r="K82" i="1" s="1"/>
  <c r="L80" i="1"/>
  <c r="L82" i="1" s="1"/>
  <c r="M80" i="1"/>
  <c r="M82" i="1" s="1"/>
  <c r="N80" i="1"/>
  <c r="N82" i="1" s="1"/>
  <c r="O80" i="1"/>
  <c r="O82" i="1" s="1"/>
  <c r="J80" i="9" l="1"/>
  <c r="J82" i="9" s="1"/>
  <c r="K79" i="7"/>
  <c r="K81" i="7" s="1"/>
  <c r="N79" i="5"/>
  <c r="N81" i="5" s="1"/>
  <c r="M79" i="5"/>
  <c r="M81" i="5" s="1"/>
  <c r="L79" i="5"/>
  <c r="L81" i="5" s="1"/>
  <c r="I79" i="5"/>
  <c r="I81" i="5" s="1"/>
  <c r="H79" i="5"/>
  <c r="H81" i="5" s="1"/>
  <c r="C79" i="5"/>
  <c r="C81" i="5" s="1"/>
  <c r="H80" i="9"/>
  <c r="P80" i="1" l="1"/>
  <c r="P82" i="1" s="1"/>
  <c r="E27" i="6"/>
  <c r="H43" i="6" l="1"/>
  <c r="K14" i="6"/>
  <c r="K10" i="6"/>
  <c r="E7" i="6"/>
  <c r="E73" i="9" l="1"/>
  <c r="E72" i="9"/>
  <c r="E71" i="9"/>
  <c r="E69" i="9"/>
  <c r="E67" i="9"/>
  <c r="E66" i="9"/>
  <c r="E65" i="9"/>
  <c r="C64" i="9"/>
  <c r="E63" i="9"/>
  <c r="C63" i="9"/>
  <c r="E62" i="9"/>
  <c r="C62" i="9"/>
  <c r="E61" i="9"/>
  <c r="C61" i="9"/>
  <c r="E60" i="9"/>
  <c r="C60" i="9"/>
  <c r="E59" i="9"/>
  <c r="C59" i="9"/>
  <c r="E58" i="9"/>
  <c r="C58" i="9"/>
  <c r="E57" i="9"/>
  <c r="C57" i="9"/>
  <c r="E56" i="9"/>
  <c r="C56" i="9"/>
  <c r="E55" i="9"/>
  <c r="C55" i="9"/>
  <c r="E54" i="9"/>
  <c r="C54" i="9"/>
  <c r="E53" i="9"/>
  <c r="C53" i="9"/>
  <c r="E52" i="9"/>
  <c r="C52" i="9"/>
  <c r="E51" i="9"/>
  <c r="C51" i="9"/>
  <c r="E50" i="9"/>
  <c r="C50" i="9"/>
  <c r="E49" i="9"/>
  <c r="C49" i="9"/>
  <c r="E48" i="9"/>
  <c r="C48" i="9"/>
  <c r="E47" i="9"/>
  <c r="C47" i="9"/>
  <c r="E46" i="9"/>
  <c r="C46" i="9"/>
  <c r="E45" i="9"/>
  <c r="C45" i="9"/>
  <c r="E44" i="9"/>
  <c r="C44" i="9"/>
  <c r="E43" i="9"/>
  <c r="C43" i="9"/>
  <c r="E42" i="9"/>
  <c r="C42" i="9"/>
  <c r="E41" i="9"/>
  <c r="E40" i="9"/>
  <c r="C40" i="9"/>
  <c r="E39" i="9"/>
  <c r="C39" i="9"/>
  <c r="E38" i="9"/>
  <c r="C38" i="9"/>
  <c r="E37" i="9"/>
  <c r="C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E12" i="9"/>
  <c r="E11" i="9"/>
  <c r="E10" i="9"/>
  <c r="I80" i="9"/>
  <c r="I82" i="9" s="1"/>
  <c r="C80" i="9" l="1"/>
  <c r="S30" i="1" l="1"/>
  <c r="S28" i="1"/>
  <c r="S29" i="1"/>
  <c r="S41" i="1"/>
  <c r="S43" i="1"/>
  <c r="S50" i="1"/>
  <c r="S51" i="1"/>
  <c r="S52" i="1"/>
  <c r="S53" i="1"/>
  <c r="S18" i="1"/>
  <c r="S19" i="1"/>
  <c r="S12" i="1"/>
  <c r="R80" i="1" l="1"/>
  <c r="Q80" i="1"/>
  <c r="Q82" i="1" s="1"/>
  <c r="R82" i="1" l="1"/>
  <c r="S80" i="1"/>
  <c r="C67" i="1"/>
  <c r="C68" i="1"/>
  <c r="C69" i="1"/>
  <c r="C70" i="1"/>
  <c r="C71" i="1"/>
  <c r="C72" i="1"/>
  <c r="C73" i="1"/>
  <c r="C57" i="1"/>
  <c r="C58" i="1"/>
  <c r="C59" i="1"/>
  <c r="C60" i="1"/>
  <c r="C61" i="1"/>
  <c r="C62" i="1"/>
  <c r="C63" i="1"/>
  <c r="C64" i="1"/>
  <c r="C65" i="1"/>
  <c r="C66" i="1"/>
  <c r="C46" i="1"/>
  <c r="C47" i="1"/>
  <c r="C48" i="1"/>
  <c r="C49" i="1"/>
  <c r="C50" i="1"/>
  <c r="C51" i="1"/>
  <c r="C52" i="1"/>
  <c r="C53" i="1"/>
  <c r="C54" i="1"/>
  <c r="C55" i="1"/>
  <c r="C56" i="1"/>
  <c r="C35" i="1"/>
  <c r="C36" i="1"/>
  <c r="C37" i="1"/>
  <c r="C38" i="1"/>
  <c r="C39" i="1"/>
  <c r="C40" i="1"/>
  <c r="C41" i="1"/>
  <c r="C42" i="1"/>
  <c r="C43" i="1"/>
  <c r="C44" i="1"/>
  <c r="C45" i="1"/>
  <c r="C27" i="1"/>
  <c r="C28" i="1"/>
  <c r="C29" i="1"/>
  <c r="C30" i="1"/>
  <c r="C31" i="1"/>
  <c r="C32" i="1"/>
  <c r="C33" i="1"/>
  <c r="C34" i="1"/>
  <c r="C21" i="1"/>
  <c r="C22" i="1"/>
  <c r="C23" i="1"/>
  <c r="C24" i="1"/>
  <c r="C25" i="1"/>
  <c r="C26" i="1"/>
  <c r="C11" i="1"/>
  <c r="C12" i="1"/>
  <c r="C13" i="1"/>
  <c r="C14" i="1"/>
  <c r="C16" i="1"/>
  <c r="C18" i="1"/>
  <c r="C19" i="1"/>
  <c r="K62" i="6" l="1"/>
  <c r="K66" i="6"/>
  <c r="K55" i="6"/>
  <c r="K56" i="6"/>
  <c r="K59" i="6"/>
  <c r="K60" i="6"/>
  <c r="K45" i="6"/>
  <c r="K48" i="6"/>
  <c r="K49" i="6"/>
  <c r="K52" i="6"/>
  <c r="K42" i="6"/>
  <c r="K43" i="6"/>
  <c r="K36" i="6"/>
  <c r="K37" i="6"/>
  <c r="K38" i="6"/>
  <c r="K39" i="6"/>
  <c r="K41" i="6"/>
  <c r="K31" i="6"/>
  <c r="K32" i="6"/>
  <c r="K33" i="6"/>
  <c r="K34" i="6"/>
  <c r="K35" i="6"/>
  <c r="K23" i="6"/>
  <c r="K24" i="6"/>
  <c r="K25" i="6"/>
  <c r="K26" i="6"/>
  <c r="K27" i="6"/>
  <c r="K28" i="6"/>
  <c r="K29" i="6"/>
  <c r="K30" i="6"/>
  <c r="K15" i="6"/>
  <c r="K17" i="6"/>
  <c r="K18" i="6"/>
  <c r="K19" i="6"/>
  <c r="K20" i="6"/>
  <c r="K22" i="6"/>
  <c r="K13" i="6"/>
  <c r="K11" i="6"/>
  <c r="K12" i="6"/>
  <c r="K7" i="6"/>
  <c r="H23" i="6" l="1"/>
  <c r="C17" i="1" l="1"/>
  <c r="C15" i="1"/>
  <c r="C10" i="1"/>
  <c r="C9" i="1"/>
  <c r="H15" i="6" l="1"/>
  <c r="H57" i="6"/>
  <c r="H58" i="6"/>
  <c r="H59" i="6"/>
  <c r="H60" i="6"/>
  <c r="H61" i="6"/>
  <c r="H62" i="6"/>
  <c r="H63" i="6"/>
  <c r="H66" i="6"/>
  <c r="H67" i="6"/>
  <c r="H68" i="6"/>
  <c r="H70" i="6"/>
  <c r="H71" i="6"/>
  <c r="H45" i="6"/>
  <c r="H46" i="6"/>
  <c r="H47" i="6"/>
  <c r="H48" i="6"/>
  <c r="H49" i="6"/>
  <c r="H50" i="6"/>
  <c r="H51" i="6"/>
  <c r="H52" i="6"/>
  <c r="H53" i="6"/>
  <c r="H54" i="6"/>
  <c r="H55" i="6"/>
  <c r="H56" i="6"/>
  <c r="H33" i="6"/>
  <c r="H34" i="6"/>
  <c r="H35" i="6"/>
  <c r="H36" i="6"/>
  <c r="H37" i="6"/>
  <c r="H38" i="6"/>
  <c r="H39" i="6"/>
  <c r="H40" i="6"/>
  <c r="H41" i="6"/>
  <c r="H44" i="6"/>
  <c r="H21" i="6"/>
  <c r="H22" i="6"/>
  <c r="H24" i="6"/>
  <c r="H25" i="6"/>
  <c r="H26" i="6"/>
  <c r="H27" i="6"/>
  <c r="H28" i="6"/>
  <c r="H29" i="6"/>
  <c r="H30" i="6"/>
  <c r="H31" i="6"/>
  <c r="H32" i="6"/>
  <c r="H11" i="6"/>
  <c r="H12" i="6"/>
  <c r="H13" i="6"/>
  <c r="H14" i="6"/>
  <c r="H16" i="6"/>
  <c r="H17" i="6"/>
  <c r="H18" i="6"/>
  <c r="H19" i="6"/>
  <c r="H20" i="6"/>
  <c r="H10" i="6"/>
  <c r="E70" i="6"/>
  <c r="E55" i="6"/>
  <c r="E56" i="6"/>
  <c r="E57" i="6"/>
  <c r="E58" i="6"/>
  <c r="E59" i="6"/>
  <c r="E60" i="6"/>
  <c r="E61" i="6"/>
  <c r="E62" i="6"/>
  <c r="E63" i="6"/>
  <c r="E45" i="6"/>
  <c r="E46" i="6"/>
  <c r="E47" i="6"/>
  <c r="E48" i="6"/>
  <c r="E49" i="6"/>
  <c r="E50" i="6"/>
  <c r="E51" i="6"/>
  <c r="E52" i="6"/>
  <c r="E53" i="6"/>
  <c r="E54" i="6"/>
  <c r="E34" i="6"/>
  <c r="E35" i="6"/>
  <c r="E36" i="6"/>
  <c r="E37" i="6"/>
  <c r="E38" i="6"/>
  <c r="E39" i="6"/>
  <c r="E41" i="6"/>
  <c r="E42" i="6"/>
  <c r="E43" i="6"/>
  <c r="E44" i="6"/>
  <c r="E24" i="6"/>
  <c r="E25" i="6"/>
  <c r="E26" i="6"/>
  <c r="E28" i="6"/>
  <c r="E29" i="6"/>
  <c r="E30" i="6"/>
  <c r="E31" i="6"/>
  <c r="E32" i="6"/>
  <c r="E33" i="6"/>
  <c r="E10" i="6"/>
  <c r="E11" i="6"/>
  <c r="E12" i="6"/>
  <c r="E13" i="6"/>
  <c r="E14" i="6"/>
  <c r="E15" i="6"/>
  <c r="E16" i="6"/>
  <c r="E17" i="6"/>
  <c r="E18" i="6"/>
  <c r="E19" i="6"/>
  <c r="E20" i="6"/>
  <c r="E22" i="6"/>
  <c r="E23" i="6"/>
  <c r="H9" i="6"/>
  <c r="E9" i="6"/>
  <c r="H8" i="6"/>
  <c r="E8" i="6"/>
  <c r="H7" i="6"/>
  <c r="O12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8" i="5"/>
  <c r="O9" i="5"/>
  <c r="O10" i="5"/>
  <c r="O11" i="5"/>
  <c r="O13" i="5"/>
  <c r="O14" i="5"/>
  <c r="O15" i="5"/>
  <c r="O16" i="5"/>
  <c r="O17" i="5"/>
  <c r="O18" i="5"/>
  <c r="O19" i="5"/>
  <c r="O20" i="5"/>
  <c r="O21" i="5"/>
  <c r="O22" i="5"/>
  <c r="S15" i="1"/>
  <c r="S16" i="1"/>
  <c r="S11" i="1"/>
  <c r="S17" i="1"/>
  <c r="S13" i="1"/>
  <c r="S14" i="1"/>
  <c r="S64" i="1"/>
  <c r="S65" i="1"/>
  <c r="S66" i="1"/>
  <c r="S67" i="1"/>
  <c r="S68" i="1"/>
  <c r="S69" i="1"/>
  <c r="S70" i="1"/>
  <c r="S71" i="1"/>
  <c r="S72" i="1"/>
  <c r="S73" i="1"/>
  <c r="S54" i="1"/>
  <c r="S55" i="1"/>
  <c r="S56" i="1"/>
  <c r="S57" i="1"/>
  <c r="S58" i="1"/>
  <c r="S59" i="1"/>
  <c r="S60" i="1"/>
  <c r="S61" i="1"/>
  <c r="S62" i="1"/>
  <c r="S63" i="1"/>
  <c r="S39" i="1"/>
  <c r="S40" i="1"/>
  <c r="S42" i="1"/>
  <c r="S44" i="1"/>
  <c r="S45" i="1"/>
  <c r="S46" i="1"/>
  <c r="S47" i="1"/>
  <c r="S48" i="1"/>
  <c r="S49" i="1"/>
  <c r="S31" i="1"/>
  <c r="S32" i="1"/>
  <c r="S33" i="1"/>
  <c r="S34" i="1"/>
  <c r="S35" i="1"/>
  <c r="S36" i="1"/>
  <c r="S37" i="1"/>
  <c r="S38" i="1"/>
  <c r="S21" i="1"/>
  <c r="S22" i="1"/>
  <c r="S23" i="1"/>
  <c r="S24" i="1"/>
  <c r="S25" i="1"/>
  <c r="S26" i="1"/>
  <c r="S27" i="1"/>
  <c r="S10" i="1"/>
  <c r="L79" i="7" l="1"/>
  <c r="L81" i="7" s="1"/>
  <c r="O79" i="5"/>
  <c r="O81" i="5" s="1"/>
  <c r="C8" i="1"/>
  <c r="C20" i="1"/>
  <c r="S20" i="1"/>
  <c r="S9" i="1"/>
  <c r="J79" i="5" l="1"/>
  <c r="E64" i="9"/>
  <c r="K79" i="5" l="1"/>
  <c r="J81" i="5"/>
  <c r="E80" i="9"/>
  <c r="E82" i="9" s="1"/>
  <c r="M14" i="9" l="1"/>
  <c r="M28" i="9"/>
  <c r="M49" i="9"/>
  <c r="M41" i="9"/>
  <c r="M30" i="9"/>
  <c r="M54" i="9"/>
  <c r="M33" i="9"/>
  <c r="M72" i="9"/>
  <c r="M27" i="9"/>
  <c r="M12" i="9"/>
  <c r="M71" i="9"/>
  <c r="M22" i="9"/>
  <c r="M69" i="9"/>
  <c r="M32" i="9"/>
  <c r="M53" i="9"/>
  <c r="M47" i="9"/>
  <c r="M45" i="9"/>
  <c r="M64" i="9"/>
  <c r="M37" i="9"/>
  <c r="M58" i="9"/>
  <c r="M40" i="9"/>
  <c r="M19" i="9"/>
  <c r="M50" i="9"/>
  <c r="M29" i="9"/>
  <c r="M55" i="9"/>
  <c r="M70" i="9"/>
  <c r="M34" i="9"/>
  <c r="M8" i="9"/>
  <c r="K80" i="9"/>
  <c r="K85" i="9" s="1"/>
  <c r="M39" i="9"/>
  <c r="M60" i="9"/>
  <c r="M25" i="9"/>
  <c r="M31" i="9"/>
  <c r="M57" i="9"/>
  <c r="M17" i="9"/>
  <c r="M38" i="9"/>
  <c r="M18" i="9"/>
  <c r="M43" i="9"/>
  <c r="M36" i="9"/>
  <c r="M23" i="9"/>
  <c r="M44" i="9"/>
  <c r="M26" i="9"/>
  <c r="M48" i="9"/>
  <c r="M11" i="9"/>
  <c r="M73" i="9"/>
  <c r="M67" i="9"/>
  <c r="M24" i="9"/>
  <c r="M63" i="9"/>
  <c r="M35" i="9"/>
  <c r="M42" i="9"/>
  <c r="M15" i="9"/>
  <c r="M59" i="9"/>
  <c r="M10" i="9"/>
  <c r="M46" i="9"/>
  <c r="M66" i="9"/>
  <c r="M68" i="9"/>
  <c r="M13" i="9"/>
  <c r="M61" i="9"/>
  <c r="M52" i="9"/>
  <c r="M9" i="9"/>
  <c r="M65" i="9"/>
  <c r="M16" i="9"/>
  <c r="M56" i="9"/>
  <c r="M20" i="9"/>
  <c r="M51" i="9"/>
  <c r="M62" i="9"/>
  <c r="M21" i="9"/>
  <c r="C24" i="7"/>
  <c r="C81" i="7" s="1"/>
  <c r="D81" i="7"/>
  <c r="M74" i="9" l="1"/>
  <c r="K82" i="9"/>
</calcChain>
</file>

<file path=xl/sharedStrings.xml><?xml version="1.0" encoding="utf-8"?>
<sst xmlns="http://schemas.openxmlformats.org/spreadsheetml/2006/main" count="683" uniqueCount="165">
  <si>
    <t>всего</t>
  </si>
  <si>
    <t xml:space="preserve">N 
пп
</t>
  </si>
  <si>
    <t xml:space="preserve">Бюджетное финансирование       </t>
  </si>
  <si>
    <t xml:space="preserve">Приносящая доход деятельность  </t>
  </si>
  <si>
    <t>Итого (тыс. руб.)</t>
  </si>
  <si>
    <t>иная приносящая доход деятельность</t>
  </si>
  <si>
    <t>Доля средств, полученных от осуществления приносящей доход деятельности, в общем объеме финансирования</t>
  </si>
  <si>
    <t xml:space="preserve"> Наименование муниципального учреждения</t>
  </si>
  <si>
    <t>субсидии на иные цели (предоставляемые в соответствии со статьей 78.1 Бюджетного кодекса Российской Федерации)</t>
  </si>
  <si>
    <t>оказание учреждением муниципальных услуг (работ),  предоставление которых осуществляется на платной основе</t>
  </si>
  <si>
    <t>Иные поступления</t>
  </si>
  <si>
    <t>субсидия на выполнение муниципального задания</t>
  </si>
  <si>
    <t>Р (тыс. руб.)</t>
  </si>
  <si>
    <t>Д (тыс.руб.)</t>
  </si>
  <si>
    <t>МАДОУ "Детский сад "Полянка" п. Мирный" Томского района</t>
  </si>
  <si>
    <t>МАДОУ "Детский сад ОВ с.Рыбалово" Томского района</t>
  </si>
  <si>
    <t>МАДОУ "Детский сад с. Корнилово" Томского района</t>
  </si>
  <si>
    <t>МАДОУ "Детский сад с. Малиновка" Томского района</t>
  </si>
  <si>
    <t>МАДОУ "ЦРР - детский сад д. Кисловка" Томского района</t>
  </si>
  <si>
    <t>МАДОУ "ЦРР - детский сад с.Моряковский Затон " Томского района</t>
  </si>
  <si>
    <t>МАОУ "Итатская СОШ" Томского района</t>
  </si>
  <si>
    <t>МАОУ "Калтайская СОШ" Томского района</t>
  </si>
  <si>
    <t>МАОУ "Кафтанчиковская СОШ" Томского района</t>
  </si>
  <si>
    <t>МАОУ "Копыловская СОШ" Томского района</t>
  </si>
  <si>
    <t>МАОУ "Малиновская СОШ" Томского района</t>
  </si>
  <si>
    <t>МАОУ "Моряковская СОШ" Томского района</t>
  </si>
  <si>
    <t>МАОУ "Спасская СОШ" Томского района</t>
  </si>
  <si>
    <t>МБДОУ "Детский сад "Рябинка" КВ" Томского района</t>
  </si>
  <si>
    <t>МБДОУ "Детский сад "Сказка" п.Зональная Станция" Томского района</t>
  </si>
  <si>
    <t>МБДОУ "Детский сад К.В. с. Октябрьское" Томского района</t>
  </si>
  <si>
    <t>МБДОУ "Детский сад КВ д.Нелюбино"</t>
  </si>
  <si>
    <t>МБДОУ "Детский сад КВ п. Молодежный" Томского района</t>
  </si>
  <si>
    <t>МБДОУ "Детский сад ОВ п. Рассвет" Томского района</t>
  </si>
  <si>
    <t>МБДОУ "Детский сад П и ОД " Томского района</t>
  </si>
  <si>
    <t>МБДОУ "Детский сад д. Черная речка" Томского района</t>
  </si>
  <si>
    <t>МБДОУ "Детский сад д.Воронино"</t>
  </si>
  <si>
    <t>МБДОУ "Детский сад п. Аэропорт"</t>
  </si>
  <si>
    <t>МБДОУ "Детский сад с. Батурино" Томского района</t>
  </si>
  <si>
    <t>МБДОУ "Детский сад с. Зоркальцево" Томского района</t>
  </si>
  <si>
    <t>МБДОУ "Детский сад с. Калтай" Томского района</t>
  </si>
  <si>
    <t>МБДОУ "Детский сад с.Кафтанчиково"</t>
  </si>
  <si>
    <t>МБДОУ "ЦРР -  детский сад п. Копылово" Томского района</t>
  </si>
  <si>
    <t>МБДОУ "ЦРР - детский сад с. Богашёво" Томского района</t>
  </si>
  <si>
    <t>МБОУ " Мазаловская СОШ" Томского района</t>
  </si>
  <si>
    <t>МБОУ " Поросинская СОШ" Томского района</t>
  </si>
  <si>
    <t>МБОУ "Александровская СОШ" Томского района</t>
  </si>
  <si>
    <t>МБОУ "Басандайская СОШ им.Д.А.Козлова" Томского района</t>
  </si>
  <si>
    <t>МБОУ "Богашевская СОШ им. А.И.Федорова" Томского района</t>
  </si>
  <si>
    <t>МБОУ "Воронинская СОШ" Томского района</t>
  </si>
  <si>
    <t>МБОУ "Зональненская СОШ" Томского района</t>
  </si>
  <si>
    <t>МБОУ "Зоркальцевская СОШ" Томского района</t>
  </si>
  <si>
    <t>МБОУ "Кисловская СОШ" Томского района</t>
  </si>
  <si>
    <t>МБОУ "Корниловская СОШ" Томского района</t>
  </si>
  <si>
    <t>МБОУ "Курлекская СОШ" Томского района</t>
  </si>
  <si>
    <t>МБОУ "Лучановская СОШ" Томского района</t>
  </si>
  <si>
    <t>МБОУ "Межениновская СОШ" Томского района</t>
  </si>
  <si>
    <t>МБОУ "Мирненская СОШ" Томского района</t>
  </si>
  <si>
    <t>МБОУ "Молодёжненская СОШ" Томского района</t>
  </si>
  <si>
    <t>МБОУ "Наумовская СОШ" Томского района</t>
  </si>
  <si>
    <t>МБОУ "Нелюбинская СОШ" Томского района</t>
  </si>
  <si>
    <t>МБОУ "Новоархангельская СОШ" Томского района</t>
  </si>
  <si>
    <t>МБОУ "Новорождественская СОШ" Томского района</t>
  </si>
  <si>
    <t>МБОУ "Октябрьская СОШ" Томского района</t>
  </si>
  <si>
    <t>МБОУ "Петуховская СОШ" Томского района</t>
  </si>
  <si>
    <t>МБОУ "Рассветовская СОШ" Томского района</t>
  </si>
  <si>
    <t>МБОУ "Рыбаловская СОШ" Томского района</t>
  </si>
  <si>
    <t>МБОУ "Семилуженская СОШ" Томского района</t>
  </si>
  <si>
    <t>МБОУ "Турунтаевская СОШ" Томского района</t>
  </si>
  <si>
    <t>МБОУ "Халдеевская ООШ" Томского района</t>
  </si>
  <si>
    <t>МБОУ "Чернореченская СОШ" Томского района</t>
  </si>
  <si>
    <t>МБОУ ДОД "ДДТ" Томского района</t>
  </si>
  <si>
    <t>МБОУ ДОД "ДМШ" Томского района</t>
  </si>
  <si>
    <t>МБОУ ДОД "ДЮСШ N1" Томского района</t>
  </si>
  <si>
    <t>МБОУ ДОД "ДЮСШ N2" Томского района</t>
  </si>
  <si>
    <t>МБОУ ДОД "ДЮСШ N3" Томского района</t>
  </si>
  <si>
    <t>МБОУ ДОД "ДЮСШ N4 д.Березкино" Томского района</t>
  </si>
  <si>
    <t>МБОУ ДОД "Копыловский п/к "Одиссей" "</t>
  </si>
  <si>
    <t>МБОУ ДОД "Корниловская ДШИ" Томского района</t>
  </si>
  <si>
    <t>МБОУ ДОД "Рыбаловская ДХШ"</t>
  </si>
  <si>
    <t>N пп</t>
  </si>
  <si>
    <t xml:space="preserve">Наименование муниципального учреждения  </t>
  </si>
  <si>
    <t xml:space="preserve">Объем оказанных услуг(работ) в натуральном выражении </t>
  </si>
  <si>
    <t>Финансовый результат хозяйствующего субъекта (тыс. руб.)</t>
  </si>
  <si>
    <t>финансовый результат текущей деятельности муниципального учреждения (в разрезе источников формирования), в том числе:</t>
  </si>
  <si>
    <t>Финансовый результат прошлых отчетных периодов</t>
  </si>
  <si>
    <t xml:space="preserve">иные поступления      </t>
  </si>
  <si>
    <t xml:space="preserve">приносящая доход деятельность   </t>
  </si>
  <si>
    <t>Наименование муниципального учреждения</t>
  </si>
  <si>
    <t xml:space="preserve">Среднесписочная численность, чел. </t>
  </si>
  <si>
    <t>Среднемесячная зарабоная плата работника, руб.</t>
  </si>
  <si>
    <t>Среднемесячная заработная плата руководителя, руб.</t>
  </si>
  <si>
    <t xml:space="preserve">Источники покрытия расходов на заработную плату, тыс. руб. </t>
  </si>
  <si>
    <t>Доля расходов на заработную плату в общем объеме расходов</t>
  </si>
  <si>
    <t>Начисления на оплату труда, тыс. руб.</t>
  </si>
  <si>
    <t>средства субсидии на выполнение муниципального задания</t>
  </si>
  <si>
    <t>приносящая доход деятельность</t>
  </si>
  <si>
    <t>иные источники</t>
  </si>
  <si>
    <t xml:space="preserve">средства субсидии на выполнение муниципального задания </t>
  </si>
  <si>
    <t>Недвижимое имущество</t>
  </si>
  <si>
    <t>Прочее движимое имущество</t>
  </si>
  <si>
    <t xml:space="preserve"> Площадь объектов недвижимости,  закрепленных на праве оперативного управления (кв.  м)</t>
  </si>
  <si>
    <t xml:space="preserve">  Площадь объектов недвижимости (кв. м)      </t>
  </si>
  <si>
    <t>Арендодатель</t>
  </si>
  <si>
    <t>Сумма уплаченной арендной платы по арендуемым объектам недвижимости (тыс. руб.)</t>
  </si>
  <si>
    <t>остаточная стоимость (тыс.руб.)</t>
  </si>
  <si>
    <t>износ (%)</t>
  </si>
  <si>
    <t>остаточная стоимость (тыс. руб.)</t>
  </si>
  <si>
    <t xml:space="preserve">Первоначальная (восстановительная) стоимость (тыс. руб.)    </t>
  </si>
  <si>
    <t xml:space="preserve"> износ (%)</t>
  </si>
  <si>
    <t>безвозмездно используемых</t>
  </si>
  <si>
    <t xml:space="preserve">арендуемых  </t>
  </si>
  <si>
    <t>из бюджетных средств</t>
  </si>
  <si>
    <t>из средств  приносящей доход деятельности</t>
  </si>
  <si>
    <t xml:space="preserve"> всего</t>
  </si>
  <si>
    <t>Оплата капитального ремонта объекта недвижимости (тыс. руб.)</t>
  </si>
  <si>
    <t>Оплата текущего ремонта объекта недвижимости (тыс. руб.)</t>
  </si>
  <si>
    <t xml:space="preserve"> Оплата коммунальных услуг (тыс. руб.)</t>
  </si>
  <si>
    <t>всего, в том  числе:</t>
  </si>
  <si>
    <t>из средств  субсидии на иные цели</t>
  </si>
  <si>
    <t>из средств от приносящей доход деятельности</t>
  </si>
  <si>
    <t>из средств субсидии на выполнение муниципального задания</t>
  </si>
  <si>
    <t>из средств субсидии на  иные цели</t>
  </si>
  <si>
    <t xml:space="preserve">из средств субсидии на выполнение муниципального задания </t>
  </si>
  <si>
    <t xml:space="preserve">Кредиторская задолженность, тыс. руб. </t>
  </si>
  <si>
    <t>Дебиторская задолженность, тыс. руб.</t>
  </si>
  <si>
    <t xml:space="preserve"> Списанная задолженность неплатежеспособных дебиторов, тыс. руб.</t>
  </si>
  <si>
    <t>в том числе просроченная</t>
  </si>
  <si>
    <t>в том числе  просроченная</t>
  </si>
  <si>
    <t>в том числе по заработной плате</t>
  </si>
  <si>
    <t>бюджетные инвестиции (предоставляемые в 
соответствии со статьей 79 Бюджетного кодекса РФ)</t>
  </si>
  <si>
    <t>Итого</t>
  </si>
  <si>
    <t>Первоначальная (восстановительная)стоимость (тыс. руб.)</t>
  </si>
  <si>
    <t>Д (тыс. руб.)</t>
  </si>
  <si>
    <t xml:space="preserve"> Движимое (особо ценное движимое) имущество  </t>
  </si>
  <si>
    <t xml:space="preserve">Отношение среднемесячной заработной платы руководителя к среднемесячной заработной плате работника </t>
  </si>
  <si>
    <t>субсидии на  иные цели(предоставляемые в соответствии со статьей 78.1 Бюджетного кодекса РФ)</t>
  </si>
  <si>
    <t>Форма 1</t>
  </si>
  <si>
    <t>Форма 2</t>
  </si>
  <si>
    <t xml:space="preserve">Форма 3 </t>
  </si>
  <si>
    <t>Форма 4</t>
  </si>
  <si>
    <t>Форма 5</t>
  </si>
  <si>
    <t>Форма 6</t>
  </si>
  <si>
    <t>-</t>
  </si>
  <si>
    <r>
      <t xml:space="preserve">Первоначальная (восстановительная) стоимость (тыс.руб.)  </t>
    </r>
    <r>
      <rPr>
        <sz val="18"/>
        <color theme="1"/>
        <rFont val="Times New Roman"/>
        <family val="1"/>
        <charset val="204"/>
      </rPr>
      <t/>
    </r>
  </si>
  <si>
    <t>Муниципальное бюджетное образовательное учреждение дополнительного образования детей "Детская школа искусств д.Кисловка"</t>
  </si>
  <si>
    <t>Муниципальное бюджетное образовательное учреждение дополнительного образования детей "Детская школа искусств п.Зональная Станция"</t>
  </si>
  <si>
    <t>Муниципальное бюджетное образовательное учреждение дополнительного образования детей "Детская школа искусств п.Мирный"</t>
  </si>
  <si>
    <t>Муниципальное бюджетное образовательное учреждение дополнительного образования детей "Детская школа искусств п.Молодежный"</t>
  </si>
  <si>
    <t>МАУ "ЦФКиС"</t>
  </si>
  <si>
    <t>Муниципальное бюджетное учреждение "Межпоселенческая центральная библиотека Томского района"                                   (МБУ "МЦБТР")</t>
  </si>
  <si>
    <t xml:space="preserve">в том числе от сдачи в аренду имущества   </t>
  </si>
  <si>
    <t>ООО "ГазпромтрансгазТомск"</t>
  </si>
  <si>
    <r>
      <t xml:space="preserve">Сведения об имуществе муниципальных учреждений по состоянию на </t>
    </r>
    <r>
      <rPr>
        <u/>
        <sz val="16"/>
        <color theme="1"/>
        <rFont val="Times New Roman"/>
        <family val="1"/>
        <charset val="204"/>
      </rPr>
      <t>2015 год</t>
    </r>
  </si>
  <si>
    <r>
      <t xml:space="preserve">Сведения о затратах муниципальных учреждений на содержание объектов недвижимого имущества и коммунальные услуги за </t>
    </r>
    <r>
      <rPr>
        <u/>
        <sz val="16"/>
        <color theme="1"/>
        <rFont val="Times New Roman"/>
        <family val="1"/>
        <charset val="204"/>
      </rPr>
      <t>2015 год</t>
    </r>
    <r>
      <rPr>
        <sz val="16"/>
        <color theme="1"/>
        <rFont val="Times New Roman"/>
        <family val="1"/>
        <charset val="204"/>
      </rPr>
      <t xml:space="preserve"> </t>
    </r>
  </si>
  <si>
    <r>
      <t xml:space="preserve">Сведения по численности работающих, объему и структуре затрат на оплату труда муниципальных учреждений за </t>
    </r>
    <r>
      <rPr>
        <u/>
        <sz val="16"/>
        <color theme="1"/>
        <rFont val="Times New Roman"/>
        <family val="1"/>
        <charset val="204"/>
      </rPr>
      <t>2015 год</t>
    </r>
    <r>
      <rPr>
        <sz val="16"/>
        <color theme="1"/>
        <rFont val="Times New Roman"/>
        <family val="1"/>
        <charset val="204"/>
      </rPr>
      <t xml:space="preserve">_ </t>
    </r>
  </si>
  <si>
    <r>
      <t xml:space="preserve">Сведения по объему и структуре финансирования муниципальных учреждений за </t>
    </r>
    <r>
      <rPr>
        <u/>
        <sz val="16"/>
        <color theme="1"/>
        <rFont val="Times New Roman"/>
        <family val="1"/>
        <charset val="204"/>
      </rPr>
      <t>2015год</t>
    </r>
    <r>
      <rPr>
        <sz val="16"/>
        <color theme="1"/>
        <rFont val="Times New Roman"/>
        <family val="1"/>
        <charset val="204"/>
      </rPr>
      <t>_</t>
    </r>
  </si>
  <si>
    <r>
      <t xml:space="preserve">Сведения о финансовом результате деятельности муниципальных учреждений и объеме оказанных ими услуг (работ) за </t>
    </r>
    <r>
      <rPr>
        <u/>
        <sz val="16"/>
        <color theme="1"/>
        <rFont val="Times New Roman"/>
        <family val="1"/>
        <charset val="204"/>
      </rPr>
      <t>2015 год</t>
    </r>
  </si>
  <si>
    <t>,</t>
  </si>
  <si>
    <r>
      <t xml:space="preserve">Сведения о кредиторской, дебиторской задолженности муниципальных учреждений на </t>
    </r>
    <r>
      <rPr>
        <u/>
        <sz val="16"/>
        <color theme="1"/>
        <rFont val="Times New Roman"/>
        <family val="1"/>
        <charset val="204"/>
      </rPr>
      <t>2015 год</t>
    </r>
    <r>
      <rPr>
        <sz val="16"/>
        <color theme="1"/>
        <rFont val="Times New Roman"/>
        <family val="1"/>
        <charset val="204"/>
      </rPr>
      <t xml:space="preserve"> </t>
    </r>
  </si>
  <si>
    <t>по данным прошлого отчета</t>
  </si>
  <si>
    <t>МБДОУ "Детский сад "Радужный" п.Зональная Станция" Томского района</t>
  </si>
  <si>
    <t xml:space="preserve">                    -</t>
  </si>
  <si>
    <t xml:space="preserve">Расхождения с 2014 годом из-за реорганизации  МБОУ "Богашевская В(С)ОШ" Томского района - 7320,51 </t>
  </si>
  <si>
    <t>Расхождения  данных УСП с прошлым отчетом за 2014 год  на 19,95 (в 2014 году  неверно подали данные)</t>
  </si>
  <si>
    <t>Итого расхождений: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</si>
</sst>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_-* #,##0.00000_р_._-;\-* #,##0.00000_р_._-;_-* &quot;-&quot;??_р_._-;_-@_-"/>
    <numFmt numFmtId="165" formatCode="_-* #,##0.0000_р_._-;\-* #,##0.0000_р_._-;_-* &quot;-&quot;????_р_._-;_-@_-"/>
    <numFmt numFmtId="166" formatCode="_-* #,##0_р_._-;\-* #,##0_р_._-;_-* &quot;-&quot;??_р_._-;_-@_-"/>
    <numFmt numFmtId="167" formatCode="_-* #,##0.000_р_._-;\-* #,##0.000_р_._-;_-* &quot;-&quot;??_р_._-;_-@_-"/>
    <numFmt numFmtId="168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Border="1"/>
    <xf numFmtId="0" fontId="5" fillId="0" borderId="0" xfId="0" applyFont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3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0" xfId="0" applyNumberFormat="1" applyFont="1"/>
    <xf numFmtId="0" fontId="6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15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3" fontId="5" fillId="0" borderId="1" xfId="1" applyNumberFormat="1" applyFont="1" applyBorder="1" applyAlignment="1">
      <alignment horizontal="center" vertical="center" wrapText="1"/>
    </xf>
    <xf numFmtId="43" fontId="17" fillId="0" borderId="1" xfId="1" applyNumberFormat="1" applyFont="1" applyBorder="1" applyAlignment="1">
      <alignment horizontal="center" vertical="center" wrapText="1"/>
    </xf>
    <xf numFmtId="43" fontId="7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vertical="center" wrapText="1"/>
    </xf>
    <xf numFmtId="43" fontId="3" fillId="0" borderId="1" xfId="1" applyNumberFormat="1" applyFont="1" applyBorder="1" applyAlignment="1">
      <alignment horizontal="justify" vertical="center" wrapText="1"/>
    </xf>
    <xf numFmtId="43" fontId="4" fillId="0" borderId="1" xfId="1" applyNumberFormat="1" applyFont="1" applyBorder="1"/>
    <xf numFmtId="43" fontId="2" fillId="3" borderId="1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 wrapText="1"/>
    </xf>
    <xf numFmtId="167" fontId="2" fillId="0" borderId="1" xfId="1" applyNumberFormat="1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43" fontId="18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2" borderId="1" xfId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2" fillId="0" borderId="0" xfId="0" applyNumberFormat="1" applyFont="1"/>
    <xf numFmtId="164" fontId="3" fillId="0" borderId="1" xfId="1" applyNumberFormat="1" applyFont="1" applyBorder="1" applyAlignment="1">
      <alignment horizontal="center" vertical="center" wrapText="1"/>
    </xf>
    <xf numFmtId="43" fontId="2" fillId="3" borderId="0" xfId="0" applyNumberFormat="1" applyFont="1" applyFill="1"/>
    <xf numFmtId="41" fontId="2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43" fontId="2" fillId="0" borderId="0" xfId="1" applyNumberFormat="1" applyFont="1" applyBorder="1" applyAlignment="1">
      <alignment horizontal="center" vertical="center" wrapText="1"/>
    </xf>
    <xf numFmtId="43" fontId="21" fillId="2" borderId="0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3" fontId="2" fillId="0" borderId="1" xfId="1" applyFont="1" applyBorder="1" applyAlignment="1">
      <alignment vertical="center" wrapText="1"/>
    </xf>
    <xf numFmtId="16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43" fontId="2" fillId="0" borderId="0" xfId="0" applyNumberFormat="1" applyFont="1"/>
    <xf numFmtId="43" fontId="3" fillId="0" borderId="1" xfId="1" applyNumberFormat="1" applyFont="1" applyBorder="1" applyAlignment="1">
      <alignment horizontal="center" vertical="center" wrapText="1"/>
    </xf>
    <xf numFmtId="43" fontId="2" fillId="0" borderId="1" xfId="1" applyNumberFormat="1" applyFont="1" applyBorder="1" applyAlignment="1">
      <alignment horizontal="left" vertical="center" wrapText="1"/>
    </xf>
    <xf numFmtId="43" fontId="2" fillId="0" borderId="0" xfId="1" applyFont="1"/>
    <xf numFmtId="43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64" fontId="2" fillId="0" borderId="1" xfId="1" applyNumberFormat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vertical="center"/>
    </xf>
    <xf numFmtId="43" fontId="4" fillId="2" borderId="1" xfId="1" applyFont="1" applyFill="1" applyBorder="1" applyAlignment="1">
      <alignment horizontal="center" vertical="center"/>
    </xf>
    <xf numFmtId="168" fontId="2" fillId="2" borderId="1" xfId="1" applyNumberFormat="1" applyFont="1" applyFill="1" applyBorder="1" applyAlignment="1">
      <alignment horizontal="center" vertical="center" wrapText="1"/>
    </xf>
    <xf numFmtId="168" fontId="15" fillId="2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168" fontId="23" fillId="0" borderId="1" xfId="1" applyNumberFormat="1" applyFont="1" applyBorder="1" applyAlignment="1">
      <alignment horizontal="center" vertical="center" wrapText="1"/>
    </xf>
    <xf numFmtId="168" fontId="23" fillId="2" borderId="1" xfId="1" applyNumberFormat="1" applyFont="1" applyFill="1" applyBorder="1" applyAlignment="1">
      <alignment horizontal="center" vertical="center" wrapText="1"/>
    </xf>
    <xf numFmtId="43" fontId="24" fillId="2" borderId="1" xfId="1" applyFont="1" applyFill="1" applyBorder="1" applyAlignment="1">
      <alignment horizontal="center" vertical="center"/>
    </xf>
    <xf numFmtId="164" fontId="23" fillId="0" borderId="1" xfId="1" applyNumberFormat="1" applyFont="1" applyBorder="1" applyAlignment="1">
      <alignment horizontal="center" vertical="center" wrapText="1"/>
    </xf>
    <xf numFmtId="164" fontId="23" fillId="2" borderId="1" xfId="1" applyNumberFormat="1" applyFont="1" applyFill="1" applyBorder="1" applyAlignment="1">
      <alignment vertical="center" wrapText="1"/>
    </xf>
    <xf numFmtId="43" fontId="4" fillId="0" borderId="1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43" fontId="24" fillId="2" borderId="1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43" fontId="24" fillId="0" borderId="0" xfId="0" applyNumberFormat="1" applyFont="1" applyAlignment="1">
      <alignment horizontal="center" vertical="center"/>
    </xf>
    <xf numFmtId="43" fontId="18" fillId="0" borderId="1" xfId="1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/>
    </xf>
    <xf numFmtId="43" fontId="18" fillId="0" borderId="0" xfId="0" applyNumberFormat="1" applyFont="1" applyFill="1" applyAlignment="1">
      <alignment horizontal="center" vertical="center"/>
    </xf>
    <xf numFmtId="43" fontId="23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/>
    <xf numFmtId="43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right"/>
    </xf>
    <xf numFmtId="43" fontId="25" fillId="0" borderId="1" xfId="1" applyNumberFormat="1" applyFont="1" applyFill="1" applyBorder="1" applyAlignment="1">
      <alignment horizontal="center" vertical="center" wrapText="1"/>
    </xf>
    <xf numFmtId="43" fontId="25" fillId="0" borderId="1" xfId="1" applyNumberFormat="1" applyFont="1" applyBorder="1" applyAlignment="1">
      <alignment horizontal="center" vertical="center" wrapText="1"/>
    </xf>
    <xf numFmtId="43" fontId="25" fillId="0" borderId="1" xfId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43" fontId="3" fillId="0" borderId="1" xfId="0" applyNumberFormat="1" applyFont="1" applyBorder="1" applyAlignment="1">
      <alignment horizontal="justify" vertical="center" wrapText="1"/>
    </xf>
    <xf numFmtId="43" fontId="3" fillId="0" borderId="1" xfId="1" applyFont="1" applyBorder="1" applyAlignment="1">
      <alignment horizontal="justify"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43" fontId="16" fillId="0" borderId="1" xfId="1" applyFont="1" applyBorder="1" applyAlignment="1">
      <alignment vertical="center" wrapText="1"/>
    </xf>
    <xf numFmtId="168" fontId="16" fillId="0" borderId="1" xfId="1" applyNumberFormat="1" applyFont="1" applyBorder="1" applyAlignment="1">
      <alignment horizontal="center" vertical="center" wrapText="1"/>
    </xf>
    <xf numFmtId="43" fontId="16" fillId="0" borderId="1" xfId="1" applyFont="1" applyBorder="1" applyAlignment="1">
      <alignment horizontal="justify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8" fontId="22" fillId="0" borderId="1" xfId="1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2" fillId="0" borderId="0" xfId="1" applyFont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3" fillId="0" borderId="0" xfId="1" applyFont="1" applyAlignment="1">
      <alignment horizontal="center" vertical="center"/>
    </xf>
    <xf numFmtId="43" fontId="2" fillId="0" borderId="1" xfId="1" applyFont="1" applyBorder="1" applyAlignment="1">
      <alignment horizontal="left" vertical="center" wrapText="1"/>
    </xf>
    <xf numFmtId="43" fontId="2" fillId="0" borderId="0" xfId="1" applyFont="1" applyFill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18" fillId="0" borderId="0" xfId="1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1" xfId="1" applyNumberFormat="1" applyFont="1" applyBorder="1" applyAlignment="1">
      <alignment vertical="center" wrapText="1"/>
    </xf>
    <xf numFmtId="43" fontId="23" fillId="0" borderId="11" xfId="1" applyNumberFormat="1" applyFont="1" applyFill="1" applyBorder="1" applyAlignment="1">
      <alignment horizontal="center" vertical="center" wrapText="1"/>
    </xf>
    <xf numFmtId="43" fontId="2" fillId="0" borderId="11" xfId="1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43" fontId="6" fillId="0" borderId="0" xfId="1" applyFont="1" applyFill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15" fillId="2" borderId="1" xfId="1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43" fontId="15" fillId="0" borderId="1" xfId="1" applyFont="1" applyBorder="1" applyAlignment="1">
      <alignment vertical="center" wrapText="1"/>
    </xf>
    <xf numFmtId="43" fontId="15" fillId="0" borderId="1" xfId="1" applyFont="1" applyFill="1" applyBorder="1" applyAlignment="1">
      <alignment horizontal="center" vertical="center" wrapText="1"/>
    </xf>
    <xf numFmtId="43" fontId="4" fillId="0" borderId="1" xfId="1" applyFont="1" applyBorder="1"/>
    <xf numFmtId="43" fontId="4" fillId="0" borderId="1" xfId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 wrapText="1"/>
    </xf>
    <xf numFmtId="43" fontId="3" fillId="0" borderId="1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99;&#1081;%20&#1054;&#1090;&#1095;&#1077;&#1090;%20&#1086;%20&#1088;&#1077;&#1079;&#1091;&#1083;&#1100;&#1090;&#1072;&#1090;&#1072;&#1093;%20&#1076;&#1077;&#1103;&#1090;&#1077;&#1083;&#1100;&#1085;&#1086;&#1089;&#1090;&#1080;%202015&#1075;.%20&#1059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/Documents/&#1054;&#1090;&#1095;&#1077;&#1090;&#1099;%20&#1087;&#1086;%20&#1055;&#1086;&#1089;&#1090;&#1072;&#1085;&#1086;&#1074;&#1083;&#1077;&#1085;&#1080;&#1102;%20&#1040;&#1058;&#1056;%20&#8470;350%20&#1086;&#1090;%2022.12.2011/2014/&#1057;&#1074;&#1086;&#1076;&#1085;&#1099;&#1081;%20&#1054;&#1090;&#1095;&#1077;&#1090;%20&#1086;%20&#1088;&#1077;&#1079;&#1091;&#1083;&#1100;&#1090;&#1072;&#1090;&#1072;&#1093;%20%20&#1076;&#1077;&#1103;&#1090;&#1077;&#1083;&#1100;&#1085;&#1086;&#1089;&#1090;&#1080;%20&#1087;&#1086;&#1076;&#1074;&#1077;&#1076;&#1086;&#1084;&#1089;&#1090;&#1074;&#1077;&#1085;&#1085;&#1099;&#1093;%20&#1052;&#1059;%20&#1040;&#1058;&#1056;%20&#1079;&#1072;%20201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 "/>
      <sheetName val="Форма 3"/>
      <sheetName val="Форма 4"/>
      <sheetName val="Форма 5"/>
      <sheetName val="Форма 6"/>
      <sheetName val="Лист1"/>
    </sheetNames>
    <sheetDataSet>
      <sheetData sheetId="0">
        <row r="8">
          <cell r="P8">
            <v>0</v>
          </cell>
          <cell r="R8">
            <v>15473.811</v>
          </cell>
        </row>
        <row r="9">
          <cell r="R9">
            <v>10857.59352</v>
          </cell>
        </row>
        <row r="10">
          <cell r="R10">
            <v>14514.27377</v>
          </cell>
        </row>
        <row r="11">
          <cell r="R11">
            <v>12480.403</v>
          </cell>
        </row>
        <row r="12">
          <cell r="R12">
            <v>30148.725109999999</v>
          </cell>
        </row>
        <row r="13">
          <cell r="R13">
            <v>22871.40969</v>
          </cell>
        </row>
        <row r="14">
          <cell r="R14">
            <v>31648.41921</v>
          </cell>
        </row>
        <row r="15">
          <cell r="R15">
            <v>23443.837190000002</v>
          </cell>
        </row>
        <row r="16">
          <cell r="R16">
            <v>20208.040649999999</v>
          </cell>
        </row>
        <row r="17">
          <cell r="R17">
            <v>16900.256590000001</v>
          </cell>
        </row>
        <row r="18">
          <cell r="R18">
            <v>45941.5</v>
          </cell>
        </row>
        <row r="19">
          <cell r="R19">
            <v>33093.439729999998</v>
          </cell>
        </row>
        <row r="20">
          <cell r="R20">
            <v>37880.579129999998</v>
          </cell>
        </row>
        <row r="21">
          <cell r="R21">
            <v>16832.89991</v>
          </cell>
        </row>
        <row r="23">
          <cell r="R23">
            <v>13797.13571</v>
          </cell>
        </row>
        <row r="24">
          <cell r="R24">
            <v>11209.97208</v>
          </cell>
        </row>
        <row r="25">
          <cell r="R25">
            <v>9255.5547999999999</v>
          </cell>
        </row>
        <row r="26">
          <cell r="R26">
            <v>11475.135000000002</v>
          </cell>
        </row>
        <row r="27">
          <cell r="R27">
            <v>28341.749589999999</v>
          </cell>
        </row>
        <row r="28">
          <cell r="R28">
            <v>4616.0454100000006</v>
          </cell>
        </row>
        <row r="29">
          <cell r="R29">
            <v>7292.7913200000003</v>
          </cell>
        </row>
        <row r="30">
          <cell r="R30">
            <v>8874.3562300000012</v>
          </cell>
        </row>
        <row r="31">
          <cell r="R31">
            <v>19926.697320000003</v>
          </cell>
        </row>
        <row r="32">
          <cell r="R32">
            <v>10719.182000000001</v>
          </cell>
        </row>
        <row r="33">
          <cell r="R33">
            <v>15324.797110000001</v>
          </cell>
        </row>
        <row r="34">
          <cell r="R34">
            <v>7369.5174400000005</v>
          </cell>
        </row>
        <row r="35">
          <cell r="R35">
            <v>8692.1315299999987</v>
          </cell>
        </row>
        <row r="36">
          <cell r="R36">
            <v>12760.755709999999</v>
          </cell>
        </row>
        <row r="37">
          <cell r="R37">
            <v>10763.8</v>
          </cell>
        </row>
        <row r="38">
          <cell r="R38">
            <v>9029.9409599999999</v>
          </cell>
        </row>
        <row r="39">
          <cell r="R39">
            <v>24913.741769999997</v>
          </cell>
        </row>
        <row r="40">
          <cell r="R40">
            <v>14808.41654</v>
          </cell>
        </row>
        <row r="41">
          <cell r="R41">
            <v>9833.125</v>
          </cell>
        </row>
        <row r="42">
          <cell r="R42">
            <v>31450.032779999998</v>
          </cell>
        </row>
        <row r="43">
          <cell r="R43">
            <v>13609.7</v>
          </cell>
        </row>
        <row r="44">
          <cell r="R44">
            <v>56499.765319999999</v>
          </cell>
        </row>
        <row r="45">
          <cell r="R45">
            <v>36901.851150000002</v>
          </cell>
        </row>
        <row r="46">
          <cell r="R46">
            <v>35350.662109999997</v>
          </cell>
        </row>
        <row r="47">
          <cell r="R47">
            <v>23165.889859999999</v>
          </cell>
        </row>
        <row r="48">
          <cell r="R48">
            <v>17307.919290000002</v>
          </cell>
        </row>
        <row r="49">
          <cell r="R49">
            <v>25133.7</v>
          </cell>
        </row>
        <row r="50">
          <cell r="R50">
            <v>23391.1</v>
          </cell>
        </row>
        <row r="51">
          <cell r="R51">
            <v>15672.736120000001</v>
          </cell>
        </row>
        <row r="52">
          <cell r="R52">
            <v>16573.095000000001</v>
          </cell>
        </row>
        <row r="53">
          <cell r="R53">
            <v>14466.55248</v>
          </cell>
        </row>
        <row r="54">
          <cell r="R54">
            <v>15555.255000000001</v>
          </cell>
        </row>
        <row r="55">
          <cell r="R55">
            <v>17031.507570000002</v>
          </cell>
        </row>
        <row r="56">
          <cell r="R56">
            <v>12655.98713</v>
          </cell>
        </row>
        <row r="57">
          <cell r="R57">
            <v>18722.63236</v>
          </cell>
        </row>
        <row r="58">
          <cell r="R58">
            <v>17878.099999999999</v>
          </cell>
        </row>
        <row r="59">
          <cell r="R59">
            <v>17146.045430000002</v>
          </cell>
        </row>
        <row r="60">
          <cell r="R60">
            <v>19210.302599999999</v>
          </cell>
        </row>
        <row r="61">
          <cell r="R61">
            <v>21102.840160000003</v>
          </cell>
        </row>
        <row r="62">
          <cell r="R62">
            <v>19246.8482</v>
          </cell>
        </row>
        <row r="63">
          <cell r="R63">
            <v>8397.0030000000006</v>
          </cell>
        </row>
        <row r="64">
          <cell r="R64">
            <v>20129.564250000003</v>
          </cell>
        </row>
        <row r="65">
          <cell r="R65">
            <v>3511.8746700000002</v>
          </cell>
        </row>
        <row r="66">
          <cell r="R66">
            <v>4755.4919499999996</v>
          </cell>
        </row>
        <row r="67">
          <cell r="R67">
            <v>5755.7934700000005</v>
          </cell>
        </row>
        <row r="68">
          <cell r="R68">
            <v>3779.4280200000003</v>
          </cell>
        </row>
        <row r="69">
          <cell r="R69">
            <v>4736.0265799999997</v>
          </cell>
        </row>
        <row r="70">
          <cell r="R70">
            <v>1513.317</v>
          </cell>
        </row>
        <row r="71">
          <cell r="R71">
            <v>8630.7565500000001</v>
          </cell>
        </row>
        <row r="72">
          <cell r="R72">
            <v>3513.4635600000001</v>
          </cell>
        </row>
        <row r="73">
          <cell r="R73">
            <v>1864.3628400000002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 "/>
      <sheetName val="Форма 3"/>
      <sheetName val="Форма 4"/>
      <sheetName val="Форма 5"/>
      <sheetName val="Форма 6"/>
    </sheetNames>
    <sheetDataSet>
      <sheetData sheetId="0"/>
      <sheetData sheetId="1">
        <row r="8">
          <cell r="E8">
            <v>13361.654180000001</v>
          </cell>
        </row>
        <row r="9">
          <cell r="E9">
            <v>10060.544519999999</v>
          </cell>
        </row>
        <row r="10">
          <cell r="E10">
            <v>17471.590340000002</v>
          </cell>
        </row>
        <row r="11">
          <cell r="E11">
            <v>12429.115400000001</v>
          </cell>
        </row>
        <row r="12">
          <cell r="E12">
            <v>40717.857429999996</v>
          </cell>
        </row>
        <row r="13">
          <cell r="E13">
            <v>21430.855619999995</v>
          </cell>
        </row>
        <row r="14">
          <cell r="E14">
            <v>30508.412839999997</v>
          </cell>
        </row>
        <row r="15">
          <cell r="E15">
            <v>79487.527010000005</v>
          </cell>
        </row>
        <row r="16">
          <cell r="E16">
            <v>18905.674709999999</v>
          </cell>
        </row>
        <row r="17">
          <cell r="E17">
            <v>77879.80704</v>
          </cell>
        </row>
        <row r="18">
          <cell r="E18">
            <v>24526.029429999995</v>
          </cell>
        </row>
        <row r="19">
          <cell r="E19">
            <v>31698.533390000001</v>
          </cell>
        </row>
        <row r="20">
          <cell r="E20">
            <v>33992.159209999991</v>
          </cell>
        </row>
        <row r="21">
          <cell r="E21">
            <v>13876.10038</v>
          </cell>
        </row>
        <row r="22">
          <cell r="E22">
            <v>11902.45636</v>
          </cell>
        </row>
        <row r="23">
          <cell r="E23">
            <v>10170.395329999999</v>
          </cell>
        </row>
        <row r="24">
          <cell r="E24">
            <v>15325.405869999999</v>
          </cell>
        </row>
        <row r="25">
          <cell r="E25">
            <v>12547.97213</v>
          </cell>
        </row>
        <row r="26">
          <cell r="E26">
            <v>10142.36571</v>
          </cell>
        </row>
        <row r="27">
          <cell r="E27">
            <v>3983.3724100000009</v>
          </cell>
        </row>
        <row r="28">
          <cell r="E28">
            <v>6301.795619999999</v>
          </cell>
        </row>
        <row r="29">
          <cell r="E29">
            <v>12158.937250000001</v>
          </cell>
        </row>
        <row r="30">
          <cell r="E30">
            <v>20177.587609999999</v>
          </cell>
        </row>
        <row r="31">
          <cell r="E31">
            <v>5166.0366199999999</v>
          </cell>
        </row>
        <row r="32">
          <cell r="E32">
            <v>14619.523210000001</v>
          </cell>
        </row>
        <row r="33">
          <cell r="E33">
            <v>7163.716910000001</v>
          </cell>
        </row>
        <row r="34">
          <cell r="E34">
            <v>9084.2758999999987</v>
          </cell>
        </row>
        <row r="35">
          <cell r="E35">
            <v>12972.313529999999</v>
          </cell>
        </row>
        <row r="36">
          <cell r="E36">
            <v>9282.7484600000007</v>
          </cell>
        </row>
        <row r="37">
          <cell r="E37">
            <v>9339.4261499999993</v>
          </cell>
        </row>
        <row r="38">
          <cell r="E38">
            <v>32348.412510000006</v>
          </cell>
        </row>
        <row r="39">
          <cell r="E39">
            <v>11085.374969999999</v>
          </cell>
        </row>
        <row r="40">
          <cell r="E40">
            <v>9827.9360900000011</v>
          </cell>
        </row>
        <row r="42">
          <cell r="E42">
            <v>28358.883439999998</v>
          </cell>
        </row>
        <row r="43">
          <cell r="E43">
            <v>13292.545779999999</v>
          </cell>
        </row>
        <row r="44">
          <cell r="E44">
            <v>52303.504809999999</v>
          </cell>
        </row>
        <row r="45">
          <cell r="E45">
            <v>27608.245550000007</v>
          </cell>
        </row>
        <row r="46">
          <cell r="E46">
            <v>33673.499539999997</v>
          </cell>
        </row>
        <row r="47">
          <cell r="E47">
            <v>20767.397549999994</v>
          </cell>
        </row>
        <row r="48">
          <cell r="E48">
            <v>14935.942820000002</v>
          </cell>
        </row>
        <row r="49">
          <cell r="E49">
            <v>18992.113170000001</v>
          </cell>
        </row>
        <row r="50">
          <cell r="E50">
            <v>14041.266319999997</v>
          </cell>
        </row>
        <row r="51">
          <cell r="E51">
            <v>15909.590840000003</v>
          </cell>
        </row>
        <row r="52">
          <cell r="E52">
            <v>16784.189249999999</v>
          </cell>
        </row>
        <row r="53">
          <cell r="E53">
            <v>12949.273870000001</v>
          </cell>
        </row>
        <row r="54">
          <cell r="E54">
            <v>16013.492189999999</v>
          </cell>
        </row>
        <row r="55">
          <cell r="E55">
            <v>8702.5116899999994</v>
          </cell>
        </row>
        <row r="56">
          <cell r="E56">
            <v>12388.33433</v>
          </cell>
        </row>
        <row r="57">
          <cell r="E57">
            <v>17870.40465</v>
          </cell>
        </row>
        <row r="58">
          <cell r="E58">
            <v>10726.2891</v>
          </cell>
        </row>
        <row r="59">
          <cell r="E59">
            <v>15898.517669999999</v>
          </cell>
        </row>
        <row r="60">
          <cell r="E60">
            <v>19097.616770000001</v>
          </cell>
        </row>
        <row r="61">
          <cell r="E61">
            <v>17166.591960000002</v>
          </cell>
        </row>
        <row r="62">
          <cell r="E62">
            <v>19440.522219999999</v>
          </cell>
        </row>
        <row r="63">
          <cell r="E63">
            <v>7848.6797599999991</v>
          </cell>
        </row>
        <row r="64">
          <cell r="E64">
            <v>9349.8686500000003</v>
          </cell>
        </row>
        <row r="65">
          <cell r="E65">
            <v>3792.1472399999993</v>
          </cell>
        </row>
        <row r="66">
          <cell r="E66">
            <v>4718.6015299999999</v>
          </cell>
        </row>
        <row r="67">
          <cell r="E67">
            <v>5197.6391699999995</v>
          </cell>
        </row>
        <row r="68">
          <cell r="E68">
            <v>2706.3121800000004</v>
          </cell>
        </row>
        <row r="69">
          <cell r="E69">
            <v>4661.7932100000007</v>
          </cell>
        </row>
        <row r="70">
          <cell r="E70">
            <v>1522.3876399999999</v>
          </cell>
        </row>
        <row r="71">
          <cell r="E71">
            <v>9446.4288799999995</v>
          </cell>
        </row>
        <row r="72">
          <cell r="E72">
            <v>3564.7392200000004</v>
          </cell>
        </row>
        <row r="73">
          <cell r="E73">
            <v>1841.4876100000001</v>
          </cell>
        </row>
        <row r="74">
          <cell r="E74">
            <v>5004.4600499999997</v>
          </cell>
        </row>
        <row r="75">
          <cell r="E75">
            <v>4093.1437900000001</v>
          </cell>
        </row>
        <row r="76">
          <cell r="E76">
            <v>5580.2429499999998</v>
          </cell>
        </row>
        <row r="77">
          <cell r="E77">
            <v>6647.2189200000003</v>
          </cell>
        </row>
        <row r="78">
          <cell r="E78">
            <v>8222.4738600000001</v>
          </cell>
        </row>
        <row r="79">
          <cell r="E79">
            <v>925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626"/>
  <sheetViews>
    <sheetView view="pageBreakPreview" topLeftCell="G1" zoomScale="106" zoomScaleNormal="60" zoomScaleSheetLayoutView="106" workbookViewId="0">
      <pane ySplit="7" topLeftCell="A41" activePane="bottomLeft" state="frozen"/>
      <selection pane="bottomLeft" activeCell="I86" sqref="I86"/>
    </sheetView>
  </sheetViews>
  <sheetFormatPr defaultColWidth="9.140625" defaultRowHeight="15" x14ac:dyDescent="0.25"/>
  <cols>
    <col min="1" max="1" width="3.28515625" style="2" bestFit="1" customWidth="1"/>
    <col min="2" max="2" width="36.85546875" style="32" customWidth="1"/>
    <col min="3" max="3" width="8.85546875" style="32" hidden="1" customWidth="1"/>
    <col min="4" max="4" width="20.7109375" style="2" bestFit="1" customWidth="1"/>
    <col min="5" max="5" width="19" style="2" bestFit="1" customWidth="1"/>
    <col min="6" max="6" width="18.140625" style="2" customWidth="1"/>
    <col min="7" max="7" width="18" style="2" customWidth="1"/>
    <col min="8" max="9" width="19" style="2" bestFit="1" customWidth="1"/>
    <col min="10" max="10" width="20.5703125" style="2" customWidth="1"/>
    <col min="11" max="11" width="17.7109375" style="2" customWidth="1"/>
    <col min="12" max="12" width="16.7109375" style="2" bestFit="1" customWidth="1"/>
    <col min="13" max="13" width="21.7109375" style="2" customWidth="1"/>
    <col min="14" max="14" width="13" style="2" customWidth="1"/>
    <col min="15" max="16" width="12.28515625" style="2" bestFit="1" customWidth="1"/>
    <col min="17" max="17" width="19.5703125" style="72" customWidth="1"/>
    <col min="18" max="18" width="20.85546875" style="72" bestFit="1" customWidth="1"/>
    <col min="19" max="19" width="18.5703125" style="72" customWidth="1"/>
    <col min="20" max="20" width="12" style="2" bestFit="1" customWidth="1"/>
    <col min="21" max="16384" width="9.140625" style="2"/>
  </cols>
  <sheetData>
    <row r="1" spans="1:20" ht="15.75" x14ac:dyDescent="0.25">
      <c r="Q1" s="175" t="s">
        <v>136</v>
      </c>
      <c r="R1" s="175"/>
      <c r="S1" s="175"/>
    </row>
    <row r="2" spans="1:20" ht="23.25" customHeight="1" x14ac:dyDescent="0.25">
      <c r="F2" s="198" t="s">
        <v>155</v>
      </c>
      <c r="G2" s="198"/>
      <c r="H2" s="198"/>
      <c r="I2" s="198"/>
      <c r="J2" s="198"/>
      <c r="K2" s="198"/>
      <c r="L2" s="198"/>
      <c r="M2" s="198"/>
    </row>
    <row r="3" spans="1:20" ht="15.75" thickBot="1" x14ac:dyDescent="0.3"/>
    <row r="4" spans="1:20" ht="20.45" customHeight="1" x14ac:dyDescent="0.25">
      <c r="A4" s="172" t="s">
        <v>1</v>
      </c>
      <c r="B4" s="169" t="s">
        <v>7</v>
      </c>
      <c r="C4" s="41"/>
      <c r="D4" s="176" t="s">
        <v>2</v>
      </c>
      <c r="E4" s="177"/>
      <c r="F4" s="177"/>
      <c r="G4" s="177"/>
      <c r="H4" s="177"/>
      <c r="I4" s="178"/>
      <c r="J4" s="196" t="s">
        <v>3</v>
      </c>
      <c r="K4" s="197"/>
      <c r="L4" s="197"/>
      <c r="M4" s="197"/>
      <c r="N4" s="197"/>
      <c r="O4" s="177" t="s">
        <v>10</v>
      </c>
      <c r="P4" s="177"/>
      <c r="Q4" s="186" t="s">
        <v>4</v>
      </c>
      <c r="R4" s="187"/>
      <c r="S4" s="192" t="s">
        <v>6</v>
      </c>
    </row>
    <row r="5" spans="1:20" ht="15" customHeight="1" x14ac:dyDescent="0.25">
      <c r="A5" s="173"/>
      <c r="B5" s="170"/>
      <c r="C5" s="135"/>
      <c r="D5" s="170" t="s">
        <v>11</v>
      </c>
      <c r="E5" s="179"/>
      <c r="F5" s="170" t="s">
        <v>129</v>
      </c>
      <c r="G5" s="179"/>
      <c r="H5" s="170" t="s">
        <v>8</v>
      </c>
      <c r="I5" s="179"/>
      <c r="J5" s="170" t="s">
        <v>9</v>
      </c>
      <c r="K5" s="179"/>
      <c r="L5" s="182" t="s">
        <v>5</v>
      </c>
      <c r="M5" s="182"/>
      <c r="N5" s="180"/>
      <c r="O5" s="195"/>
      <c r="P5" s="195"/>
      <c r="Q5" s="188"/>
      <c r="R5" s="189"/>
      <c r="S5" s="193"/>
    </row>
    <row r="6" spans="1:20" ht="56.25" customHeight="1" x14ac:dyDescent="0.25">
      <c r="A6" s="173"/>
      <c r="B6" s="170"/>
      <c r="C6" s="135"/>
      <c r="D6" s="180"/>
      <c r="E6" s="181"/>
      <c r="F6" s="180"/>
      <c r="G6" s="181"/>
      <c r="H6" s="180"/>
      <c r="I6" s="181"/>
      <c r="J6" s="180"/>
      <c r="K6" s="181"/>
      <c r="L6" s="183" t="s">
        <v>13</v>
      </c>
      <c r="M6" s="185"/>
      <c r="N6" s="183" t="s">
        <v>12</v>
      </c>
      <c r="O6" s="195"/>
      <c r="P6" s="195"/>
      <c r="Q6" s="190"/>
      <c r="R6" s="191"/>
      <c r="S6" s="193"/>
    </row>
    <row r="7" spans="1:20" ht="34.5" customHeight="1" thickBot="1" x14ac:dyDescent="0.3">
      <c r="A7" s="174"/>
      <c r="B7" s="171"/>
      <c r="C7" s="151"/>
      <c r="D7" s="152" t="s">
        <v>13</v>
      </c>
      <c r="E7" s="152" t="s">
        <v>12</v>
      </c>
      <c r="F7" s="152" t="s">
        <v>13</v>
      </c>
      <c r="G7" s="152" t="s">
        <v>12</v>
      </c>
      <c r="H7" s="152" t="s">
        <v>13</v>
      </c>
      <c r="I7" s="152" t="s">
        <v>12</v>
      </c>
      <c r="J7" s="152" t="s">
        <v>13</v>
      </c>
      <c r="K7" s="152" t="s">
        <v>12</v>
      </c>
      <c r="L7" s="153" t="s">
        <v>0</v>
      </c>
      <c r="M7" s="152" t="s">
        <v>150</v>
      </c>
      <c r="N7" s="184"/>
      <c r="O7" s="154" t="s">
        <v>132</v>
      </c>
      <c r="P7" s="154" t="s">
        <v>12</v>
      </c>
      <c r="Q7" s="155" t="s">
        <v>13</v>
      </c>
      <c r="R7" s="155" t="s">
        <v>12</v>
      </c>
      <c r="S7" s="194"/>
    </row>
    <row r="8" spans="1:20" ht="30" x14ac:dyDescent="0.25">
      <c r="A8" s="146">
        <v>1</v>
      </c>
      <c r="B8" s="136" t="s">
        <v>14</v>
      </c>
      <c r="C8" s="147">
        <f>E8/D8*100</f>
        <v>100</v>
      </c>
      <c r="D8" s="148">
        <v>10993.5</v>
      </c>
      <c r="E8" s="148">
        <f>D8</f>
        <v>10993.5</v>
      </c>
      <c r="F8" s="148">
        <v>0</v>
      </c>
      <c r="G8" s="148">
        <v>0</v>
      </c>
      <c r="H8" s="148">
        <v>2856.1669999999999</v>
      </c>
      <c r="I8" s="148">
        <v>2849.6669999999999</v>
      </c>
      <c r="J8" s="148">
        <v>1963.5060000000001</v>
      </c>
      <c r="K8" s="148">
        <v>1630.644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9">
        <f>D8+F8+H8+J8+L8+O8</f>
        <v>15813.172999999999</v>
      </c>
      <c r="R8" s="149">
        <f>E8+G8+I8+K8+N8+P8</f>
        <v>15473.811</v>
      </c>
      <c r="S8" s="150">
        <f>(J8+L8+O8)/Q8</f>
        <v>0.12416900770009917</v>
      </c>
      <c r="T8" s="33"/>
    </row>
    <row r="9" spans="1:20" ht="30" x14ac:dyDescent="0.25">
      <c r="A9" s="4">
        <v>2</v>
      </c>
      <c r="B9" s="62" t="s">
        <v>15</v>
      </c>
      <c r="C9" s="8">
        <f t="shared" ref="C9:C69" si="0">E9/D9*100</f>
        <v>100</v>
      </c>
      <c r="D9" s="56">
        <v>7138.8</v>
      </c>
      <c r="E9" s="56">
        <f>D9</f>
        <v>7138.8</v>
      </c>
      <c r="F9" s="56">
        <v>0</v>
      </c>
      <c r="G9" s="56">
        <v>0</v>
      </c>
      <c r="H9" s="56">
        <v>2357.8020000000001</v>
      </c>
      <c r="I9" s="56">
        <v>2354.8020000000001</v>
      </c>
      <c r="J9" s="56">
        <v>1500</v>
      </c>
      <c r="K9" s="56">
        <v>1363.99152</v>
      </c>
      <c r="L9" s="56"/>
      <c r="M9" s="56"/>
      <c r="N9" s="56"/>
      <c r="O9" s="56"/>
      <c r="P9" s="56"/>
      <c r="Q9" s="114">
        <f t="shared" ref="Q9:Q72" si="1">D9+F9+H9+J9+L9+O9</f>
        <v>10996.602000000001</v>
      </c>
      <c r="R9" s="114">
        <f t="shared" ref="R9:R72" si="2">E9+G9+I9+K9+N9+P9</f>
        <v>10857.59352</v>
      </c>
      <c r="S9" s="21">
        <f t="shared" ref="S9:S72" si="3">(J9+L9+O9)/Q9</f>
        <v>0.13640577334707574</v>
      </c>
      <c r="T9" s="33"/>
    </row>
    <row r="10" spans="1:20" ht="30" x14ac:dyDescent="0.25">
      <c r="A10" s="22">
        <v>3</v>
      </c>
      <c r="B10" s="62" t="s">
        <v>16</v>
      </c>
      <c r="C10" s="8">
        <f t="shared" si="0"/>
        <v>100</v>
      </c>
      <c r="D10" s="56">
        <v>10035.299999999999</v>
      </c>
      <c r="E10" s="56">
        <v>10035.299999999999</v>
      </c>
      <c r="F10" s="56">
        <v>0</v>
      </c>
      <c r="G10" s="56">
        <v>0</v>
      </c>
      <c r="H10" s="56">
        <v>2384.19</v>
      </c>
      <c r="I10" s="56">
        <v>2384.19</v>
      </c>
      <c r="J10" s="56">
        <v>3000</v>
      </c>
      <c r="K10" s="56">
        <v>2094.78377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114">
        <f t="shared" si="1"/>
        <v>15419.49</v>
      </c>
      <c r="R10" s="114">
        <f t="shared" si="2"/>
        <v>14514.27377</v>
      </c>
      <c r="S10" s="21">
        <f t="shared" si="3"/>
        <v>0.19455896401242842</v>
      </c>
      <c r="T10" s="33"/>
    </row>
    <row r="11" spans="1:20" ht="30" x14ac:dyDescent="0.25">
      <c r="A11" s="4">
        <v>4</v>
      </c>
      <c r="B11" s="62" t="s">
        <v>17</v>
      </c>
      <c r="C11" s="8">
        <f t="shared" si="0"/>
        <v>100</v>
      </c>
      <c r="D11" s="56">
        <v>8284.5</v>
      </c>
      <c r="E11" s="56">
        <v>8284.5</v>
      </c>
      <c r="F11" s="56">
        <v>0</v>
      </c>
      <c r="G11" s="56">
        <v>0</v>
      </c>
      <c r="H11" s="56">
        <v>2040.0119999999999</v>
      </c>
      <c r="I11" s="56">
        <v>2040.0119999999999</v>
      </c>
      <c r="J11" s="56">
        <v>1999</v>
      </c>
      <c r="K11" s="56">
        <v>2155.8910000000001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114">
        <f t="shared" si="1"/>
        <v>12323.512000000001</v>
      </c>
      <c r="R11" s="114">
        <f t="shared" si="2"/>
        <v>12480.403</v>
      </c>
      <c r="S11" s="21">
        <f>(J11+L11+O11)/Q11</f>
        <v>0.16221025305124057</v>
      </c>
      <c r="T11" s="33"/>
    </row>
    <row r="12" spans="1:20" ht="30" x14ac:dyDescent="0.25">
      <c r="A12" s="4">
        <v>5</v>
      </c>
      <c r="B12" s="62" t="s">
        <v>18</v>
      </c>
      <c r="C12" s="8">
        <f t="shared" si="0"/>
        <v>100</v>
      </c>
      <c r="D12" s="56">
        <v>20790.7</v>
      </c>
      <c r="E12" s="56">
        <f>D12</f>
        <v>20790.7</v>
      </c>
      <c r="F12" s="56">
        <v>0</v>
      </c>
      <c r="G12" s="56">
        <v>0</v>
      </c>
      <c r="H12" s="56">
        <v>5100.8720000000003</v>
      </c>
      <c r="I12" s="56">
        <f>H12</f>
        <v>5100.8720000000003</v>
      </c>
      <c r="J12" s="56">
        <v>4976.4350000000004</v>
      </c>
      <c r="K12" s="56">
        <v>4257.1531100000002</v>
      </c>
      <c r="L12" s="56">
        <v>0</v>
      </c>
      <c r="M12" s="56">
        <v>0</v>
      </c>
      <c r="N12" s="56">
        <v>0</v>
      </c>
      <c r="O12" s="56"/>
      <c r="P12" s="56"/>
      <c r="Q12" s="114">
        <f t="shared" si="1"/>
        <v>30868.007000000001</v>
      </c>
      <c r="R12" s="114">
        <f t="shared" si="2"/>
        <v>30148.725109999999</v>
      </c>
      <c r="S12" s="21">
        <f>(J12+L12+O12)/Q12</f>
        <v>0.16121659555150419</v>
      </c>
    </row>
    <row r="13" spans="1:20" ht="45" x14ac:dyDescent="0.25">
      <c r="A13" s="22">
        <v>6</v>
      </c>
      <c r="B13" s="62" t="s">
        <v>19</v>
      </c>
      <c r="C13" s="8">
        <f t="shared" si="0"/>
        <v>100</v>
      </c>
      <c r="D13" s="56">
        <v>16439.900000000001</v>
      </c>
      <c r="E13" s="56">
        <f>D13</f>
        <v>16439.900000000001</v>
      </c>
      <c r="F13" s="56">
        <v>0</v>
      </c>
      <c r="G13" s="56">
        <v>0</v>
      </c>
      <c r="H13" s="56">
        <v>3924.0641999999998</v>
      </c>
      <c r="I13" s="56">
        <f>H13</f>
        <v>3924.0641999999998</v>
      </c>
      <c r="J13" s="56">
        <v>2553.8974499999999</v>
      </c>
      <c r="K13" s="56">
        <v>2507.4454900000001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114">
        <f t="shared" si="1"/>
        <v>22917.861650000003</v>
      </c>
      <c r="R13" s="114">
        <f t="shared" si="2"/>
        <v>22871.40969</v>
      </c>
      <c r="S13" s="21">
        <f t="shared" si="3"/>
        <v>0.11143698696688832</v>
      </c>
    </row>
    <row r="14" spans="1:20" ht="30" x14ac:dyDescent="0.25">
      <c r="A14" s="4">
        <v>7</v>
      </c>
      <c r="B14" s="62" t="s">
        <v>20</v>
      </c>
      <c r="C14" s="8">
        <f t="shared" si="0"/>
        <v>100</v>
      </c>
      <c r="D14" s="56">
        <v>25317.1</v>
      </c>
      <c r="E14" s="56">
        <f>D14</f>
        <v>25317.1</v>
      </c>
      <c r="F14" s="56">
        <v>0</v>
      </c>
      <c r="G14" s="56">
        <v>0</v>
      </c>
      <c r="H14" s="56">
        <v>5126.7924199999998</v>
      </c>
      <c r="I14" s="56">
        <v>5126.7773699999998</v>
      </c>
      <c r="J14" s="56">
        <v>1253</v>
      </c>
      <c r="K14" s="56">
        <v>1204.5418400000001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114">
        <f t="shared" si="1"/>
        <v>31696.892419999996</v>
      </c>
      <c r="R14" s="114">
        <f t="shared" si="2"/>
        <v>31648.41921</v>
      </c>
      <c r="S14" s="21">
        <f t="shared" si="3"/>
        <v>3.953068910974334E-2</v>
      </c>
    </row>
    <row r="15" spans="1:20" ht="30" x14ac:dyDescent="0.25">
      <c r="A15" s="4">
        <v>8</v>
      </c>
      <c r="B15" s="62" t="s">
        <v>21</v>
      </c>
      <c r="C15" s="8">
        <f t="shared" si="0"/>
        <v>100</v>
      </c>
      <c r="D15" s="56">
        <v>19016.400000000001</v>
      </c>
      <c r="E15" s="56">
        <f>D15</f>
        <v>19016.400000000001</v>
      </c>
      <c r="F15" s="56">
        <v>0</v>
      </c>
      <c r="G15" s="56">
        <v>0</v>
      </c>
      <c r="H15" s="56">
        <v>3871.2271599999999</v>
      </c>
      <c r="I15" s="56">
        <v>3865.2271900000001</v>
      </c>
      <c r="J15" s="56">
        <v>1017.47932</v>
      </c>
      <c r="K15" s="56">
        <v>562.21</v>
      </c>
      <c r="L15" s="56">
        <v>27.73376</v>
      </c>
      <c r="M15" s="56">
        <v>0</v>
      </c>
      <c r="N15" s="56">
        <v>0</v>
      </c>
      <c r="O15" s="56">
        <v>0</v>
      </c>
      <c r="P15" s="56">
        <v>0</v>
      </c>
      <c r="Q15" s="114">
        <f t="shared" si="1"/>
        <v>23932.840239999998</v>
      </c>
      <c r="R15" s="114">
        <f t="shared" si="2"/>
        <v>23443.837190000002</v>
      </c>
      <c r="S15" s="21">
        <f>(J15+L15+O15)/Q15</f>
        <v>4.3672755490720652E-2</v>
      </c>
    </row>
    <row r="16" spans="1:20" ht="30" x14ac:dyDescent="0.25">
      <c r="A16" s="22">
        <v>9</v>
      </c>
      <c r="B16" s="62" t="s">
        <v>22</v>
      </c>
      <c r="C16" s="8">
        <f t="shared" si="0"/>
        <v>100</v>
      </c>
      <c r="D16" s="56">
        <v>17096.099999999999</v>
      </c>
      <c r="E16" s="56">
        <v>17096.099999999999</v>
      </c>
      <c r="F16" s="56">
        <v>0</v>
      </c>
      <c r="G16" s="56">
        <v>0</v>
      </c>
      <c r="H16" s="56">
        <v>3142.1029800000001</v>
      </c>
      <c r="I16" s="56">
        <v>3086.0754499999998</v>
      </c>
      <c r="J16" s="56">
        <v>0</v>
      </c>
      <c r="K16" s="56">
        <v>0</v>
      </c>
      <c r="L16" s="56">
        <v>68.400000000000006</v>
      </c>
      <c r="M16" s="56">
        <v>0</v>
      </c>
      <c r="N16" s="56">
        <v>25.865200000000002</v>
      </c>
      <c r="O16" s="56">
        <v>20</v>
      </c>
      <c r="P16" s="56"/>
      <c r="Q16" s="114">
        <f t="shared" si="1"/>
        <v>20326.60298</v>
      </c>
      <c r="R16" s="114">
        <f t="shared" si="2"/>
        <v>20208.040649999999</v>
      </c>
      <c r="S16" s="21">
        <f>(J16+L16+O16)/Q16</f>
        <v>4.3489805004298856E-3</v>
      </c>
    </row>
    <row r="17" spans="1:19" ht="30" x14ac:dyDescent="0.25">
      <c r="A17" s="4">
        <v>10</v>
      </c>
      <c r="B17" s="62" t="s">
        <v>23</v>
      </c>
      <c r="C17" s="8">
        <f t="shared" si="0"/>
        <v>100</v>
      </c>
      <c r="D17" s="56">
        <v>20049.099999999999</v>
      </c>
      <c r="E17" s="56">
        <f>D17</f>
        <v>20049.099999999999</v>
      </c>
      <c r="F17" s="56">
        <v>0</v>
      </c>
      <c r="G17" s="56">
        <v>-9045.5881100000006</v>
      </c>
      <c r="H17" s="56">
        <v>5490.5189499999997</v>
      </c>
      <c r="I17" s="56">
        <v>5487.5189499999997</v>
      </c>
      <c r="J17" s="56">
        <v>646</v>
      </c>
      <c r="K17" s="56">
        <v>409.22575000000001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114">
        <f t="shared" si="1"/>
        <v>26185.618949999996</v>
      </c>
      <c r="R17" s="114">
        <f t="shared" si="2"/>
        <v>16900.256590000001</v>
      </c>
      <c r="S17" s="21">
        <f t="shared" si="3"/>
        <v>2.4670029806570605E-2</v>
      </c>
    </row>
    <row r="18" spans="1:19" ht="30" x14ac:dyDescent="0.25">
      <c r="A18" s="4">
        <v>11</v>
      </c>
      <c r="B18" s="62" t="s">
        <v>24</v>
      </c>
      <c r="C18" s="8">
        <f t="shared" si="0"/>
        <v>100</v>
      </c>
      <c r="D18" s="56">
        <v>19619.099999999999</v>
      </c>
      <c r="E18" s="56">
        <f>D18</f>
        <v>19619.099999999999</v>
      </c>
      <c r="F18" s="56">
        <v>0</v>
      </c>
      <c r="G18" s="56">
        <v>0</v>
      </c>
      <c r="H18" s="56">
        <v>26420.2</v>
      </c>
      <c r="I18" s="56">
        <v>26315.200000000001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7.2</v>
      </c>
      <c r="P18" s="56">
        <v>7.2</v>
      </c>
      <c r="Q18" s="114">
        <f t="shared" si="1"/>
        <v>46046.5</v>
      </c>
      <c r="R18" s="114">
        <f t="shared" si="2"/>
        <v>45941.5</v>
      </c>
      <c r="S18" s="21">
        <f>(J18+L18+O18)/Q18</f>
        <v>1.563636758494131E-4</v>
      </c>
    </row>
    <row r="19" spans="1:19" ht="30" x14ac:dyDescent="0.25">
      <c r="A19" s="22">
        <v>12</v>
      </c>
      <c r="B19" s="62" t="s">
        <v>25</v>
      </c>
      <c r="C19" s="8">
        <f t="shared" si="0"/>
        <v>100</v>
      </c>
      <c r="D19" s="56">
        <v>27259.1</v>
      </c>
      <c r="E19" s="56">
        <v>27259.1</v>
      </c>
      <c r="F19" s="56">
        <v>0</v>
      </c>
      <c r="G19" s="56">
        <v>0</v>
      </c>
      <c r="H19" s="56">
        <v>5900.3917300000003</v>
      </c>
      <c r="I19" s="56">
        <v>5816.7487300000003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17.591000000000001</v>
      </c>
      <c r="P19" s="56">
        <v>17.591000000000001</v>
      </c>
      <c r="Q19" s="114">
        <f t="shared" si="1"/>
        <v>33177.082730000002</v>
      </c>
      <c r="R19" s="114">
        <f t="shared" si="2"/>
        <v>33093.439729999998</v>
      </c>
      <c r="S19" s="21">
        <f>(J19+L19+O19)/Q19</f>
        <v>5.3021539425748062E-4</v>
      </c>
    </row>
    <row r="20" spans="1:19" ht="30" x14ac:dyDescent="0.25">
      <c r="A20" s="4">
        <v>13</v>
      </c>
      <c r="B20" s="62" t="s">
        <v>26</v>
      </c>
      <c r="C20" s="8">
        <f>E20/D20*100</f>
        <v>100</v>
      </c>
      <c r="D20" s="56">
        <v>28656.1</v>
      </c>
      <c r="E20" s="56">
        <f>D20</f>
        <v>28656.1</v>
      </c>
      <c r="F20" s="57">
        <v>0</v>
      </c>
      <c r="G20" s="57">
        <v>0</v>
      </c>
      <c r="H20" s="56">
        <v>8302.7496300000003</v>
      </c>
      <c r="I20" s="56">
        <v>8257.9202000000005</v>
      </c>
      <c r="J20" s="56">
        <v>1150</v>
      </c>
      <c r="K20" s="56">
        <f>958.56241+6.02652</f>
        <v>964.58893</v>
      </c>
      <c r="L20" s="56">
        <v>0</v>
      </c>
      <c r="M20" s="56">
        <v>0</v>
      </c>
      <c r="N20" s="56">
        <v>0</v>
      </c>
      <c r="O20" s="56">
        <v>50</v>
      </c>
      <c r="P20" s="56">
        <v>1.97</v>
      </c>
      <c r="Q20" s="114">
        <f t="shared" si="1"/>
        <v>38158.849629999997</v>
      </c>
      <c r="R20" s="114">
        <f t="shared" si="2"/>
        <v>37880.579129999998</v>
      </c>
      <c r="S20" s="21">
        <f t="shared" si="3"/>
        <v>3.1447488895382618E-2</v>
      </c>
    </row>
    <row r="21" spans="1:19" ht="30" x14ac:dyDescent="0.25">
      <c r="A21" s="4">
        <v>14</v>
      </c>
      <c r="B21" s="62" t="s">
        <v>27</v>
      </c>
      <c r="C21" s="8">
        <f t="shared" si="0"/>
        <v>100</v>
      </c>
      <c r="D21" s="56">
        <v>11569.1</v>
      </c>
      <c r="E21" s="56">
        <f>D21</f>
        <v>11569.1</v>
      </c>
      <c r="F21" s="56">
        <v>0</v>
      </c>
      <c r="G21" s="56">
        <v>0</v>
      </c>
      <c r="H21" s="56">
        <v>3010.5560099999998</v>
      </c>
      <c r="I21" s="56">
        <v>3010.5105100000001</v>
      </c>
      <c r="J21" s="56">
        <v>2740</v>
      </c>
      <c r="K21" s="56">
        <v>2223.2894000000001</v>
      </c>
      <c r="L21" s="56">
        <v>30</v>
      </c>
      <c r="M21" s="56">
        <v>0</v>
      </c>
      <c r="N21" s="56">
        <v>30</v>
      </c>
      <c r="O21" s="56"/>
      <c r="P21" s="56">
        <v>0</v>
      </c>
      <c r="Q21" s="114">
        <f t="shared" si="1"/>
        <v>17349.656009999999</v>
      </c>
      <c r="R21" s="114">
        <f t="shared" si="2"/>
        <v>16832.89991</v>
      </c>
      <c r="S21" s="21">
        <f t="shared" si="3"/>
        <v>0.15965734412275534</v>
      </c>
    </row>
    <row r="22" spans="1:19" ht="45" x14ac:dyDescent="0.25">
      <c r="A22" s="22">
        <v>15</v>
      </c>
      <c r="B22" s="71" t="s">
        <v>160</v>
      </c>
      <c r="C22" s="8">
        <f t="shared" si="0"/>
        <v>100</v>
      </c>
      <c r="D22" s="56">
        <v>2825</v>
      </c>
      <c r="E22" s="56">
        <f>D22</f>
        <v>2825</v>
      </c>
      <c r="F22" s="56"/>
      <c r="G22" s="56"/>
      <c r="H22" s="56">
        <v>546.78240000000005</v>
      </c>
      <c r="I22" s="56">
        <f>H22</f>
        <v>546.78240000000005</v>
      </c>
      <c r="J22" s="56">
        <v>512.70304999999996</v>
      </c>
      <c r="K22" s="56">
        <f>J22</f>
        <v>512.70304999999996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114">
        <f t="shared" si="1"/>
        <v>3884.4854500000001</v>
      </c>
      <c r="R22" s="114">
        <f t="shared" si="2"/>
        <v>3884.4854500000001</v>
      </c>
      <c r="S22" s="21">
        <f>(J22+L22+O22)/Q22</f>
        <v>0.13198737814811481</v>
      </c>
    </row>
    <row r="23" spans="1:19" ht="45" x14ac:dyDescent="0.25">
      <c r="A23" s="4">
        <v>16</v>
      </c>
      <c r="B23" s="71" t="s">
        <v>28</v>
      </c>
      <c r="C23" s="8">
        <f t="shared" si="0"/>
        <v>100</v>
      </c>
      <c r="D23" s="56">
        <v>9296.2000000000007</v>
      </c>
      <c r="E23" s="56">
        <f>D23</f>
        <v>9296.2000000000007</v>
      </c>
      <c r="F23" s="56">
        <v>0</v>
      </c>
      <c r="G23" s="56">
        <v>0</v>
      </c>
      <c r="H23" s="56">
        <v>2517.4389999999999</v>
      </c>
      <c r="I23" s="56">
        <v>2517.4389999999999</v>
      </c>
      <c r="J23" s="56">
        <v>2000</v>
      </c>
      <c r="K23" s="56">
        <v>1983.4967099999999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114">
        <f t="shared" si="1"/>
        <v>13813.639000000001</v>
      </c>
      <c r="R23" s="114">
        <f t="shared" si="2"/>
        <v>13797.13571</v>
      </c>
      <c r="S23" s="21">
        <f t="shared" si="3"/>
        <v>0.14478444094275231</v>
      </c>
    </row>
    <row r="24" spans="1:19" ht="30" x14ac:dyDescent="0.25">
      <c r="A24" s="4">
        <v>17</v>
      </c>
      <c r="B24" s="71" t="s">
        <v>29</v>
      </c>
      <c r="C24" s="8">
        <f t="shared" si="0"/>
        <v>100</v>
      </c>
      <c r="D24" s="56">
        <v>7904.3</v>
      </c>
      <c r="E24" s="56">
        <v>7904.3</v>
      </c>
      <c r="F24" s="56">
        <v>0</v>
      </c>
      <c r="G24" s="56">
        <v>0</v>
      </c>
      <c r="H24" s="56">
        <v>1928.7280000000001</v>
      </c>
      <c r="I24" s="56">
        <v>1925.7280000000001</v>
      </c>
      <c r="J24" s="56">
        <v>1350</v>
      </c>
      <c r="K24" s="56">
        <v>1379.94408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114">
        <f t="shared" si="1"/>
        <v>11183.028</v>
      </c>
      <c r="R24" s="114">
        <f t="shared" si="2"/>
        <v>11209.97208</v>
      </c>
      <c r="S24" s="21">
        <f t="shared" si="3"/>
        <v>0.12071864614843135</v>
      </c>
    </row>
    <row r="25" spans="1:19" ht="30" x14ac:dyDescent="0.25">
      <c r="A25" s="22">
        <v>18</v>
      </c>
      <c r="B25" s="71" t="s">
        <v>30</v>
      </c>
      <c r="C25" s="8">
        <f t="shared" si="0"/>
        <v>100</v>
      </c>
      <c r="D25" s="56">
        <v>6543.2</v>
      </c>
      <c r="E25" s="56">
        <v>6543.2</v>
      </c>
      <c r="F25" s="56">
        <v>0</v>
      </c>
      <c r="G25" s="56">
        <v>0</v>
      </c>
      <c r="H25" s="56">
        <v>1818.5904</v>
      </c>
      <c r="I25" s="56">
        <v>1817.0904</v>
      </c>
      <c r="J25" s="56">
        <v>990</v>
      </c>
      <c r="K25" s="56">
        <v>855.26440000000002</v>
      </c>
      <c r="L25" s="56">
        <v>0</v>
      </c>
      <c r="M25" s="56">
        <v>0</v>
      </c>
      <c r="N25" s="56">
        <v>0</v>
      </c>
      <c r="O25" s="56">
        <v>40</v>
      </c>
      <c r="P25" s="56">
        <v>40</v>
      </c>
      <c r="Q25" s="114">
        <f t="shared" si="1"/>
        <v>9391.7903999999999</v>
      </c>
      <c r="R25" s="114">
        <f t="shared" si="2"/>
        <v>9255.5547999999999</v>
      </c>
      <c r="S25" s="21">
        <f t="shared" si="3"/>
        <v>0.1096702498812154</v>
      </c>
    </row>
    <row r="26" spans="1:19" ht="30" x14ac:dyDescent="0.25">
      <c r="A26" s="4">
        <v>19</v>
      </c>
      <c r="B26" s="71" t="s">
        <v>31</v>
      </c>
      <c r="C26" s="8">
        <f t="shared" si="0"/>
        <v>100</v>
      </c>
      <c r="D26" s="56">
        <v>7837.1</v>
      </c>
      <c r="E26" s="56">
        <v>7837.1</v>
      </c>
      <c r="F26" s="56">
        <v>0</v>
      </c>
      <c r="G26" s="56">
        <v>0</v>
      </c>
      <c r="H26" s="56">
        <v>2216.7449999999999</v>
      </c>
      <c r="I26" s="56">
        <v>2213.7449999999999</v>
      </c>
      <c r="J26" s="56">
        <v>1372.75</v>
      </c>
      <c r="K26" s="56">
        <v>1424.29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114">
        <f t="shared" si="1"/>
        <v>11426.595000000001</v>
      </c>
      <c r="R26" s="114">
        <f t="shared" si="2"/>
        <v>11475.135000000002</v>
      </c>
      <c r="S26" s="21">
        <f t="shared" si="3"/>
        <v>0.1201364010888633</v>
      </c>
    </row>
    <row r="27" spans="1:19" ht="30" x14ac:dyDescent="0.25">
      <c r="A27" s="4">
        <v>20</v>
      </c>
      <c r="B27" s="71" t="s">
        <v>32</v>
      </c>
      <c r="C27" s="8">
        <f>E27/D27*100</f>
        <v>100</v>
      </c>
      <c r="D27" s="56">
        <v>6941.1</v>
      </c>
      <c r="E27" s="56">
        <f>D27</f>
        <v>6941.1</v>
      </c>
      <c r="F27" s="56">
        <v>0</v>
      </c>
      <c r="G27" s="56">
        <v>0</v>
      </c>
      <c r="H27" s="56">
        <v>20643.225999999999</v>
      </c>
      <c r="I27" s="56">
        <v>20620.745999999999</v>
      </c>
      <c r="J27" s="56">
        <v>841.48500000000001</v>
      </c>
      <c r="K27" s="56">
        <v>739.90359000000001</v>
      </c>
      <c r="L27" s="56">
        <v>40</v>
      </c>
      <c r="M27" s="56">
        <v>0</v>
      </c>
      <c r="N27" s="56">
        <v>40</v>
      </c>
      <c r="O27" s="56">
        <v>0</v>
      </c>
      <c r="P27" s="56">
        <v>0</v>
      </c>
      <c r="Q27" s="114">
        <f t="shared" si="1"/>
        <v>28465.811000000002</v>
      </c>
      <c r="R27" s="114">
        <f t="shared" si="2"/>
        <v>28341.749589999999</v>
      </c>
      <c r="S27" s="21">
        <f t="shared" si="3"/>
        <v>3.0966446028887075E-2</v>
      </c>
    </row>
    <row r="28" spans="1:19" ht="30" x14ac:dyDescent="0.25">
      <c r="A28" s="22">
        <v>21</v>
      </c>
      <c r="B28" s="71" t="s">
        <v>33</v>
      </c>
      <c r="C28" s="8">
        <f t="shared" si="0"/>
        <v>100</v>
      </c>
      <c r="D28" s="56">
        <v>3221.3</v>
      </c>
      <c r="E28" s="56">
        <f>D28</f>
        <v>3221.3</v>
      </c>
      <c r="F28" s="56">
        <v>0</v>
      </c>
      <c r="G28" s="56">
        <v>0</v>
      </c>
      <c r="H28" s="56">
        <v>902.95600000000002</v>
      </c>
      <c r="I28" s="56">
        <v>902.95600000000002</v>
      </c>
      <c r="J28" s="56">
        <v>500</v>
      </c>
      <c r="K28" s="56">
        <v>491.78940999999998</v>
      </c>
      <c r="L28" s="56">
        <v>0</v>
      </c>
      <c r="M28" s="56">
        <v>0</v>
      </c>
      <c r="N28" s="56">
        <v>0</v>
      </c>
      <c r="O28" s="56"/>
      <c r="P28" s="56"/>
      <c r="Q28" s="114">
        <f t="shared" si="1"/>
        <v>4624.2560000000003</v>
      </c>
      <c r="R28" s="114">
        <f t="shared" si="2"/>
        <v>4616.0454100000006</v>
      </c>
      <c r="S28" s="21">
        <f>(J28+L28+O28)/Q28</f>
        <v>0.10812550170232789</v>
      </c>
    </row>
    <row r="29" spans="1:19" ht="30" x14ac:dyDescent="0.25">
      <c r="A29" s="4">
        <v>22</v>
      </c>
      <c r="B29" s="71" t="s">
        <v>34</v>
      </c>
      <c r="C29" s="8">
        <f t="shared" si="0"/>
        <v>100</v>
      </c>
      <c r="D29" s="56">
        <v>4945.6000000000004</v>
      </c>
      <c r="E29" s="56">
        <v>4945.6000000000004</v>
      </c>
      <c r="F29" s="56">
        <v>0</v>
      </c>
      <c r="G29" s="56">
        <v>0</v>
      </c>
      <c r="H29" s="56">
        <v>1489.9290000000001</v>
      </c>
      <c r="I29" s="56">
        <v>1489.9290000000001</v>
      </c>
      <c r="J29" s="56">
        <v>892.96199999999999</v>
      </c>
      <c r="K29" s="56">
        <v>857.26232000000005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114">
        <f t="shared" si="1"/>
        <v>7328.491</v>
      </c>
      <c r="R29" s="114">
        <f t="shared" si="2"/>
        <v>7292.7913200000003</v>
      </c>
      <c r="S29" s="21">
        <f>(J29+L29+O29)/Q29</f>
        <v>0.12184800390694346</v>
      </c>
    </row>
    <row r="30" spans="1:19" x14ac:dyDescent="0.25">
      <c r="A30" s="4">
        <v>23</v>
      </c>
      <c r="B30" s="71" t="s">
        <v>35</v>
      </c>
      <c r="C30" s="8">
        <f t="shared" si="0"/>
        <v>100</v>
      </c>
      <c r="D30" s="56">
        <v>6064.8</v>
      </c>
      <c r="E30" s="56">
        <v>6064.8</v>
      </c>
      <c r="F30" s="56">
        <v>0</v>
      </c>
      <c r="G30" s="56">
        <v>0</v>
      </c>
      <c r="H30" s="56">
        <v>1622.28</v>
      </c>
      <c r="I30" s="56">
        <v>1622.28</v>
      </c>
      <c r="J30" s="56">
        <v>991.3</v>
      </c>
      <c r="K30" s="56">
        <v>985.93523000000005</v>
      </c>
      <c r="L30" s="56">
        <v>0</v>
      </c>
      <c r="M30" s="56">
        <v>0</v>
      </c>
      <c r="N30" s="56">
        <v>0</v>
      </c>
      <c r="O30" s="56">
        <v>210</v>
      </c>
      <c r="P30" s="56">
        <v>201.34100000000001</v>
      </c>
      <c r="Q30" s="114">
        <f t="shared" si="1"/>
        <v>8888.3799999999992</v>
      </c>
      <c r="R30" s="114">
        <f t="shared" si="2"/>
        <v>8874.3562300000012</v>
      </c>
      <c r="S30" s="21">
        <f>(J30+L30+O30)/Q30</f>
        <v>0.13515398756578814</v>
      </c>
    </row>
    <row r="31" spans="1:19" x14ac:dyDescent="0.25">
      <c r="A31" s="22">
        <v>24</v>
      </c>
      <c r="B31" s="71" t="s">
        <v>36</v>
      </c>
      <c r="C31" s="8">
        <f t="shared" si="0"/>
        <v>100</v>
      </c>
      <c r="D31" s="56">
        <v>13519.6</v>
      </c>
      <c r="E31" s="56">
        <f>D31</f>
        <v>13519.6</v>
      </c>
      <c r="F31" s="56">
        <v>0</v>
      </c>
      <c r="G31" s="56">
        <v>0</v>
      </c>
      <c r="H31" s="56">
        <v>3708</v>
      </c>
      <c r="I31" s="56">
        <v>3704.3</v>
      </c>
      <c r="J31" s="56">
        <v>2612.1578599999998</v>
      </c>
      <c r="K31" s="56">
        <v>2702.7973200000001</v>
      </c>
      <c r="L31" s="56">
        <v>0</v>
      </c>
      <c r="M31" s="56">
        <v>0</v>
      </c>
      <c r="N31" s="56">
        <v>0</v>
      </c>
      <c r="O31" s="56">
        <v>40</v>
      </c>
      <c r="P31" s="56">
        <v>0</v>
      </c>
      <c r="Q31" s="114">
        <f t="shared" si="1"/>
        <v>19879.757859999998</v>
      </c>
      <c r="R31" s="114">
        <f t="shared" si="2"/>
        <v>19926.697320000003</v>
      </c>
      <c r="S31" s="21">
        <f t="shared" si="3"/>
        <v>0.1334099680024976</v>
      </c>
    </row>
    <row r="32" spans="1:19" ht="30" x14ac:dyDescent="0.25">
      <c r="A32" s="4">
        <v>25</v>
      </c>
      <c r="B32" s="71" t="s">
        <v>37</v>
      </c>
      <c r="C32" s="8">
        <f t="shared" si="0"/>
        <v>100</v>
      </c>
      <c r="D32" s="56">
        <v>3519.8</v>
      </c>
      <c r="E32" s="56">
        <f>D32</f>
        <v>3519.8</v>
      </c>
      <c r="F32" s="56">
        <v>0</v>
      </c>
      <c r="G32" s="56">
        <v>0</v>
      </c>
      <c r="H32" s="56">
        <v>6840.5619999999999</v>
      </c>
      <c r="I32" s="56">
        <f>H32</f>
        <v>6840.5619999999999</v>
      </c>
      <c r="J32" s="56">
        <v>600</v>
      </c>
      <c r="K32" s="56">
        <v>357.39</v>
      </c>
      <c r="L32" s="56">
        <v>5</v>
      </c>
      <c r="M32" s="56"/>
      <c r="N32" s="56">
        <v>1.43</v>
      </c>
      <c r="O32" s="56">
        <v>1</v>
      </c>
      <c r="P32" s="56">
        <v>0</v>
      </c>
      <c r="Q32" s="114">
        <f t="shared" si="1"/>
        <v>10966.362000000001</v>
      </c>
      <c r="R32" s="114">
        <f t="shared" si="2"/>
        <v>10719.182000000001</v>
      </c>
      <c r="S32" s="21">
        <f t="shared" si="3"/>
        <v>5.5259893846291042E-2</v>
      </c>
    </row>
    <row r="33" spans="1:19" ht="30" x14ac:dyDescent="0.25">
      <c r="A33" s="4">
        <v>26</v>
      </c>
      <c r="B33" s="71" t="s">
        <v>38</v>
      </c>
      <c r="C33" s="8">
        <f t="shared" si="0"/>
        <v>100</v>
      </c>
      <c r="D33" s="56">
        <v>11317.2</v>
      </c>
      <c r="E33" s="56">
        <f>D33</f>
        <v>11317.2</v>
      </c>
      <c r="F33" s="56">
        <v>0</v>
      </c>
      <c r="G33" s="56">
        <v>0</v>
      </c>
      <c r="H33" s="56">
        <v>2586.6934000000001</v>
      </c>
      <c r="I33" s="56">
        <v>2582.9434000000001</v>
      </c>
      <c r="J33" s="56">
        <v>1456.6</v>
      </c>
      <c r="K33" s="56">
        <v>1424.65371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114">
        <f t="shared" si="1"/>
        <v>15360.493400000001</v>
      </c>
      <c r="R33" s="114">
        <f t="shared" si="2"/>
        <v>15324.797110000001</v>
      </c>
      <c r="S33" s="21">
        <f>(J33+L33+O33)/Q33</f>
        <v>9.4827683074294983E-2</v>
      </c>
    </row>
    <row r="34" spans="1:19" ht="30" x14ac:dyDescent="0.25">
      <c r="A34" s="22">
        <v>27</v>
      </c>
      <c r="B34" s="71" t="s">
        <v>39</v>
      </c>
      <c r="C34" s="8">
        <f t="shared" si="0"/>
        <v>100</v>
      </c>
      <c r="D34" s="56">
        <v>5015.3</v>
      </c>
      <c r="E34" s="56">
        <v>5015.3</v>
      </c>
      <c r="F34" s="56">
        <v>0</v>
      </c>
      <c r="G34" s="56">
        <v>0</v>
      </c>
      <c r="H34" s="56">
        <v>1619.0989999999999</v>
      </c>
      <c r="I34" s="56">
        <v>1614.5989999999999</v>
      </c>
      <c r="J34" s="56">
        <v>780</v>
      </c>
      <c r="K34" s="56">
        <v>739.61843999999996</v>
      </c>
      <c r="L34" s="56">
        <v>0</v>
      </c>
      <c r="M34" s="56"/>
      <c r="N34" s="56">
        <v>0</v>
      </c>
      <c r="O34" s="56">
        <v>0</v>
      </c>
      <c r="P34" s="56">
        <v>0</v>
      </c>
      <c r="Q34" s="114">
        <f t="shared" si="1"/>
        <v>7414.3990000000003</v>
      </c>
      <c r="R34" s="114">
        <f t="shared" si="2"/>
        <v>7369.5174400000005</v>
      </c>
      <c r="S34" s="21">
        <f t="shared" si="3"/>
        <v>0.10520070473682357</v>
      </c>
    </row>
    <row r="35" spans="1:19" ht="30" x14ac:dyDescent="0.25">
      <c r="A35" s="4">
        <v>28</v>
      </c>
      <c r="B35" s="71" t="s">
        <v>40</v>
      </c>
      <c r="C35" s="8">
        <f>E35/D35*100</f>
        <v>100</v>
      </c>
      <c r="D35" s="56">
        <v>5844.4</v>
      </c>
      <c r="E35" s="56">
        <v>5844.4</v>
      </c>
      <c r="F35" s="56">
        <v>0</v>
      </c>
      <c r="G35" s="56">
        <v>0</v>
      </c>
      <c r="H35" s="56">
        <v>1753.5237999999999</v>
      </c>
      <c r="I35" s="56">
        <v>1657.06628</v>
      </c>
      <c r="J35" s="56">
        <v>1472.6579999999999</v>
      </c>
      <c r="K35" s="56">
        <v>1190.66525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114">
        <f t="shared" si="1"/>
        <v>9070.5817999999999</v>
      </c>
      <c r="R35" s="114">
        <f t="shared" si="2"/>
        <v>8692.1315299999987</v>
      </c>
      <c r="S35" s="21">
        <f t="shared" si="3"/>
        <v>0.16235540701479589</v>
      </c>
    </row>
    <row r="36" spans="1:19" ht="30" x14ac:dyDescent="0.25">
      <c r="A36" s="4">
        <v>29</v>
      </c>
      <c r="B36" s="71" t="s">
        <v>41</v>
      </c>
      <c r="C36" s="8">
        <f t="shared" si="0"/>
        <v>100</v>
      </c>
      <c r="D36" s="56">
        <v>9173.9</v>
      </c>
      <c r="E36" s="56">
        <v>9173.9</v>
      </c>
      <c r="F36" s="56">
        <v>0</v>
      </c>
      <c r="G36" s="56">
        <v>0</v>
      </c>
      <c r="H36" s="56">
        <v>2197.00281</v>
      </c>
      <c r="I36" s="56">
        <v>2156.6491099999998</v>
      </c>
      <c r="J36" s="56">
        <v>1618.4</v>
      </c>
      <c r="K36" s="56">
        <v>1430.2066</v>
      </c>
      <c r="L36" s="56">
        <v>0</v>
      </c>
      <c r="M36" s="56">
        <v>0</v>
      </c>
      <c r="N36" s="56">
        <v>0</v>
      </c>
      <c r="O36" s="56">
        <v>50</v>
      </c>
      <c r="P36" s="56">
        <v>0</v>
      </c>
      <c r="Q36" s="114">
        <f t="shared" si="1"/>
        <v>13039.302809999999</v>
      </c>
      <c r="R36" s="114">
        <f t="shared" si="2"/>
        <v>12760.755709999999</v>
      </c>
      <c r="S36" s="21">
        <f t="shared" si="3"/>
        <v>0.12795162627257065</v>
      </c>
    </row>
    <row r="37" spans="1:19" ht="30" x14ac:dyDescent="0.25">
      <c r="A37" s="22">
        <v>30</v>
      </c>
      <c r="B37" s="71" t="s">
        <v>42</v>
      </c>
      <c r="C37" s="8">
        <f t="shared" si="0"/>
        <v>100</v>
      </c>
      <c r="D37" s="56">
        <v>7259.9</v>
      </c>
      <c r="E37" s="56">
        <v>7259.9</v>
      </c>
      <c r="F37" s="56">
        <v>0</v>
      </c>
      <c r="G37" s="56">
        <v>0</v>
      </c>
      <c r="H37" s="56">
        <v>2141.1999999999998</v>
      </c>
      <c r="I37" s="56">
        <v>2139.6999999999998</v>
      </c>
      <c r="J37" s="56">
        <v>1424.2</v>
      </c>
      <c r="K37" s="56">
        <v>1364.2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114">
        <f t="shared" si="1"/>
        <v>10825.3</v>
      </c>
      <c r="R37" s="114">
        <f t="shared" si="2"/>
        <v>10763.8</v>
      </c>
      <c r="S37" s="21">
        <f t="shared" si="3"/>
        <v>0.13156217379656915</v>
      </c>
    </row>
    <row r="38" spans="1:19" ht="30" x14ac:dyDescent="0.25">
      <c r="A38" s="4">
        <v>31</v>
      </c>
      <c r="B38" s="71" t="s">
        <v>43</v>
      </c>
      <c r="C38" s="8">
        <f t="shared" si="0"/>
        <v>100</v>
      </c>
      <c r="D38" s="56">
        <v>6867.1</v>
      </c>
      <c r="E38" s="56">
        <v>6867.1</v>
      </c>
      <c r="F38" s="56">
        <v>0</v>
      </c>
      <c r="G38" s="56">
        <v>0</v>
      </c>
      <c r="H38" s="56">
        <v>2050.11096</v>
      </c>
      <c r="I38" s="56">
        <v>2050.11096</v>
      </c>
      <c r="J38" s="56">
        <v>183.2</v>
      </c>
      <c r="K38" s="56">
        <v>102.23</v>
      </c>
      <c r="L38" s="56">
        <v>0</v>
      </c>
      <c r="M38" s="56">
        <v>0</v>
      </c>
      <c r="N38" s="56">
        <v>0</v>
      </c>
      <c r="O38" s="56">
        <v>10.5</v>
      </c>
      <c r="P38" s="56">
        <v>10.5</v>
      </c>
      <c r="Q38" s="114">
        <f t="shared" si="1"/>
        <v>9110.9109600000011</v>
      </c>
      <c r="R38" s="114">
        <f t="shared" si="2"/>
        <v>9029.9409599999999</v>
      </c>
      <c r="S38" s="21">
        <f t="shared" si="3"/>
        <v>2.1260223137994531E-2</v>
      </c>
    </row>
    <row r="39" spans="1:19" ht="30" x14ac:dyDescent="0.25">
      <c r="A39" s="4">
        <v>32</v>
      </c>
      <c r="B39" s="71" t="s">
        <v>44</v>
      </c>
      <c r="C39" s="8">
        <f t="shared" si="0"/>
        <v>100</v>
      </c>
      <c r="D39" s="56">
        <v>20893.099999999999</v>
      </c>
      <c r="E39" s="56">
        <f>D39</f>
        <v>20893.099999999999</v>
      </c>
      <c r="F39" s="56">
        <v>0</v>
      </c>
      <c r="G39" s="56">
        <v>0</v>
      </c>
      <c r="H39" s="56">
        <v>3337.4620599999998</v>
      </c>
      <c r="I39" s="56">
        <v>3123.9495499999998</v>
      </c>
      <c r="J39" s="56">
        <v>970</v>
      </c>
      <c r="K39" s="56">
        <v>889.37</v>
      </c>
      <c r="L39" s="56">
        <v>0</v>
      </c>
      <c r="M39" s="56"/>
      <c r="N39" s="56">
        <v>0</v>
      </c>
      <c r="O39" s="56">
        <v>7.3222199999999997</v>
      </c>
      <c r="P39" s="56">
        <f>O39</f>
        <v>7.3222199999999997</v>
      </c>
      <c r="Q39" s="114">
        <f t="shared" si="1"/>
        <v>25207.884279999995</v>
      </c>
      <c r="R39" s="114">
        <f t="shared" si="2"/>
        <v>24913.741769999997</v>
      </c>
      <c r="S39" s="21">
        <f t="shared" si="3"/>
        <v>3.8770497719850694E-2</v>
      </c>
    </row>
    <row r="40" spans="1:19" ht="30" x14ac:dyDescent="0.25">
      <c r="A40" s="22">
        <v>33</v>
      </c>
      <c r="B40" s="71" t="s">
        <v>45</v>
      </c>
      <c r="C40" s="8">
        <f t="shared" si="0"/>
        <v>100</v>
      </c>
      <c r="D40" s="56">
        <v>12488.1</v>
      </c>
      <c r="E40" s="56">
        <f>D40</f>
        <v>12488.1</v>
      </c>
      <c r="F40" s="56">
        <v>0</v>
      </c>
      <c r="G40" s="56">
        <v>0</v>
      </c>
      <c r="H40" s="56">
        <v>1920.2973500000001</v>
      </c>
      <c r="I40" s="56">
        <v>1920.2973199999999</v>
      </c>
      <c r="J40" s="56">
        <v>440</v>
      </c>
      <c r="K40" s="56">
        <v>400.01922000000002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114">
        <f t="shared" si="1"/>
        <v>14848.397350000001</v>
      </c>
      <c r="R40" s="114">
        <f t="shared" si="2"/>
        <v>14808.41654</v>
      </c>
      <c r="S40" s="21">
        <f>(J40+L40+O40)/Q40</f>
        <v>2.9632827680220988E-2</v>
      </c>
    </row>
    <row r="41" spans="1:19" ht="30" x14ac:dyDescent="0.25">
      <c r="A41" s="4">
        <v>34</v>
      </c>
      <c r="B41" s="71" t="s">
        <v>46</v>
      </c>
      <c r="C41" s="8">
        <f t="shared" si="0"/>
        <v>100</v>
      </c>
      <c r="D41" s="56">
        <v>7595.5</v>
      </c>
      <c r="E41" s="56">
        <v>7595.5</v>
      </c>
      <c r="F41" s="56">
        <v>0</v>
      </c>
      <c r="G41" s="56">
        <v>0</v>
      </c>
      <c r="H41" s="56">
        <v>2101.8000000000002</v>
      </c>
      <c r="I41" s="56">
        <v>2030.8</v>
      </c>
      <c r="J41" s="56">
        <v>198.37136000000001</v>
      </c>
      <c r="K41" s="56">
        <v>173.82499999999999</v>
      </c>
      <c r="L41" s="56">
        <v>33</v>
      </c>
      <c r="M41" s="56">
        <v>0</v>
      </c>
      <c r="N41" s="56">
        <v>33</v>
      </c>
      <c r="O41" s="56">
        <v>0</v>
      </c>
      <c r="P41" s="56">
        <v>0</v>
      </c>
      <c r="Q41" s="114">
        <f t="shared" si="1"/>
        <v>9928.6713599999985</v>
      </c>
      <c r="R41" s="114">
        <f t="shared" si="2"/>
        <v>9833.125</v>
      </c>
      <c r="S41" s="21">
        <f>(J41+L41+O41)/Q41</f>
        <v>2.3303355666714307E-2</v>
      </c>
    </row>
    <row r="42" spans="1:19" ht="30" x14ac:dyDescent="0.25">
      <c r="A42" s="4">
        <v>35</v>
      </c>
      <c r="B42" s="62" t="s">
        <v>47</v>
      </c>
      <c r="C42" s="8">
        <f t="shared" si="0"/>
        <v>100</v>
      </c>
      <c r="D42" s="56">
        <v>22036.1</v>
      </c>
      <c r="E42" s="56">
        <f>D42</f>
        <v>22036.1</v>
      </c>
      <c r="F42" s="56">
        <v>0</v>
      </c>
      <c r="G42" s="56">
        <v>0</v>
      </c>
      <c r="H42" s="56">
        <v>9150.4</v>
      </c>
      <c r="I42" s="56">
        <v>9107.1</v>
      </c>
      <c r="J42" s="56">
        <v>890.31802000000005</v>
      </c>
      <c r="K42" s="56">
        <v>277.02278000000001</v>
      </c>
      <c r="L42" s="56">
        <v>0</v>
      </c>
      <c r="M42" s="56">
        <v>0</v>
      </c>
      <c r="N42" s="56">
        <v>0</v>
      </c>
      <c r="O42" s="56">
        <v>100</v>
      </c>
      <c r="P42" s="56">
        <v>29.81</v>
      </c>
      <c r="Q42" s="114">
        <f t="shared" si="1"/>
        <v>32176.818019999999</v>
      </c>
      <c r="R42" s="114">
        <f t="shared" si="2"/>
        <v>31450.032779999998</v>
      </c>
      <c r="S42" s="21">
        <f t="shared" si="3"/>
        <v>3.0777375792238142E-2</v>
      </c>
    </row>
    <row r="43" spans="1:19" ht="30" x14ac:dyDescent="0.25">
      <c r="A43" s="22">
        <v>36</v>
      </c>
      <c r="B43" s="62" t="s">
        <v>48</v>
      </c>
      <c r="C43" s="8">
        <f t="shared" si="0"/>
        <v>100</v>
      </c>
      <c r="D43" s="56">
        <v>10686.1</v>
      </c>
      <c r="E43" s="56">
        <f>D43</f>
        <v>10686.1</v>
      </c>
      <c r="F43" s="56">
        <v>0</v>
      </c>
      <c r="G43" s="56">
        <v>0</v>
      </c>
      <c r="H43" s="56">
        <v>2920.6</v>
      </c>
      <c r="I43" s="56">
        <v>2923.6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114">
        <f t="shared" si="1"/>
        <v>13606.7</v>
      </c>
      <c r="R43" s="114">
        <f t="shared" si="2"/>
        <v>13609.7</v>
      </c>
      <c r="S43" s="21">
        <f>(J43+L43+O43)/Q43</f>
        <v>0</v>
      </c>
    </row>
    <row r="44" spans="1:19" ht="30" x14ac:dyDescent="0.25">
      <c r="A44" s="4">
        <v>37</v>
      </c>
      <c r="B44" s="62" t="s">
        <v>49</v>
      </c>
      <c r="C44" s="8">
        <f t="shared" si="0"/>
        <v>100</v>
      </c>
      <c r="D44" s="56">
        <v>42735.105649999998</v>
      </c>
      <c r="E44" s="56">
        <f>D44</f>
        <v>42735.105649999998</v>
      </c>
      <c r="F44" s="56">
        <v>0</v>
      </c>
      <c r="G44" s="56">
        <v>0</v>
      </c>
      <c r="H44" s="56">
        <v>13723.58987</v>
      </c>
      <c r="I44" s="56">
        <v>13722.85967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50</v>
      </c>
      <c r="P44" s="56">
        <v>41.8</v>
      </c>
      <c r="Q44" s="114">
        <f t="shared" si="1"/>
        <v>56508.695519999994</v>
      </c>
      <c r="R44" s="114">
        <f t="shared" si="2"/>
        <v>56499.765319999999</v>
      </c>
      <c r="S44" s="21">
        <f t="shared" si="3"/>
        <v>8.8481957581738218E-4</v>
      </c>
    </row>
    <row r="45" spans="1:19" ht="30" x14ac:dyDescent="0.25">
      <c r="A45" s="4">
        <v>38</v>
      </c>
      <c r="B45" s="62" t="s">
        <v>50</v>
      </c>
      <c r="C45" s="8">
        <f t="shared" si="0"/>
        <v>100</v>
      </c>
      <c r="D45" s="56">
        <v>24673.1</v>
      </c>
      <c r="E45" s="56">
        <f>D45</f>
        <v>24673.1</v>
      </c>
      <c r="F45" s="56">
        <v>0</v>
      </c>
      <c r="G45" s="56">
        <v>0</v>
      </c>
      <c r="H45" s="56">
        <v>12238.75115</v>
      </c>
      <c r="I45" s="56">
        <v>12228.75115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114">
        <f t="shared" si="1"/>
        <v>36911.851150000002</v>
      </c>
      <c r="R45" s="114">
        <f t="shared" si="2"/>
        <v>36901.851150000002</v>
      </c>
      <c r="S45" s="21">
        <f t="shared" si="3"/>
        <v>0</v>
      </c>
    </row>
    <row r="46" spans="1:19" ht="30" x14ac:dyDescent="0.25">
      <c r="A46" s="22">
        <v>39</v>
      </c>
      <c r="B46" s="62" t="s">
        <v>51</v>
      </c>
      <c r="C46" s="8">
        <f>E46/D46*100</f>
        <v>100</v>
      </c>
      <c r="D46" s="56">
        <v>26694.1</v>
      </c>
      <c r="E46" s="56">
        <v>26694.1</v>
      </c>
      <c r="F46" s="56">
        <v>0</v>
      </c>
      <c r="G46" s="56">
        <v>0</v>
      </c>
      <c r="H46" s="56">
        <v>8716.3559499999992</v>
      </c>
      <c r="I46" s="56">
        <v>8656.5621100000008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114">
        <f t="shared" si="1"/>
        <v>35410.455949999996</v>
      </c>
      <c r="R46" s="114">
        <f t="shared" si="2"/>
        <v>35350.662109999997</v>
      </c>
      <c r="S46" s="21">
        <f>(J46+L46+O46)/Q46</f>
        <v>0</v>
      </c>
    </row>
    <row r="47" spans="1:19" ht="30" x14ac:dyDescent="0.25">
      <c r="A47" s="4">
        <v>40</v>
      </c>
      <c r="B47" s="62" t="s">
        <v>52</v>
      </c>
      <c r="C47" s="8">
        <f t="shared" si="0"/>
        <v>100</v>
      </c>
      <c r="D47" s="56">
        <v>18890.099999999999</v>
      </c>
      <c r="E47" s="56">
        <v>18890.099999999999</v>
      </c>
      <c r="F47" s="56">
        <v>0</v>
      </c>
      <c r="G47" s="56">
        <v>0</v>
      </c>
      <c r="H47" s="56">
        <v>4286.5667999999996</v>
      </c>
      <c r="I47" s="56">
        <v>4270.0498600000001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100</v>
      </c>
      <c r="P47" s="56">
        <v>5.74</v>
      </c>
      <c r="Q47" s="114">
        <f t="shared" si="1"/>
        <v>23276.666799999999</v>
      </c>
      <c r="R47" s="114">
        <f t="shared" si="2"/>
        <v>23165.889859999999</v>
      </c>
      <c r="S47" s="21">
        <f t="shared" si="3"/>
        <v>4.2961477628747089E-3</v>
      </c>
    </row>
    <row r="48" spans="1:19" ht="30" x14ac:dyDescent="0.25">
      <c r="A48" s="4">
        <v>41</v>
      </c>
      <c r="B48" s="62" t="s">
        <v>53</v>
      </c>
      <c r="C48" s="8">
        <f t="shared" si="0"/>
        <v>100</v>
      </c>
      <c r="D48" s="56">
        <v>14220.1</v>
      </c>
      <c r="E48" s="56">
        <f>D48</f>
        <v>14220.1</v>
      </c>
      <c r="F48" s="56">
        <v>0</v>
      </c>
      <c r="G48" s="56">
        <v>0</v>
      </c>
      <c r="H48" s="56">
        <v>2602.8959100000002</v>
      </c>
      <c r="I48" s="56">
        <v>2574.1542899999999</v>
      </c>
      <c r="J48" s="56">
        <v>600</v>
      </c>
      <c r="K48" s="56">
        <v>513.66499999999996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114">
        <f t="shared" si="1"/>
        <v>17422.995910000001</v>
      </c>
      <c r="R48" s="114">
        <f t="shared" si="2"/>
        <v>17307.919290000002</v>
      </c>
      <c r="S48" s="21">
        <f t="shared" si="3"/>
        <v>3.4437246217547894E-2</v>
      </c>
    </row>
    <row r="49" spans="1:19" ht="30" x14ac:dyDescent="0.25">
      <c r="A49" s="22">
        <v>42</v>
      </c>
      <c r="B49" s="62" t="s">
        <v>54</v>
      </c>
      <c r="C49" s="8">
        <f t="shared" si="0"/>
        <v>100</v>
      </c>
      <c r="D49" s="56">
        <v>17326.5</v>
      </c>
      <c r="E49" s="56">
        <v>17326.5</v>
      </c>
      <c r="F49" s="56">
        <v>0</v>
      </c>
      <c r="G49" s="56">
        <v>0</v>
      </c>
      <c r="H49" s="56">
        <v>7397.3</v>
      </c>
      <c r="I49" s="56">
        <v>7397.3</v>
      </c>
      <c r="J49" s="56">
        <v>504.3</v>
      </c>
      <c r="K49" s="56">
        <v>409.9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114">
        <f t="shared" si="1"/>
        <v>25228.1</v>
      </c>
      <c r="R49" s="114">
        <f t="shared" si="2"/>
        <v>25133.7</v>
      </c>
      <c r="S49" s="21">
        <f t="shared" si="3"/>
        <v>1.9989614754975606E-2</v>
      </c>
    </row>
    <row r="50" spans="1:19" ht="30" x14ac:dyDescent="0.25">
      <c r="A50" s="4">
        <v>43</v>
      </c>
      <c r="B50" s="62" t="s">
        <v>55</v>
      </c>
      <c r="C50" s="8">
        <f t="shared" si="0"/>
        <v>100</v>
      </c>
      <c r="D50" s="56">
        <v>10657.1</v>
      </c>
      <c r="E50" s="56">
        <v>10657.1</v>
      </c>
      <c r="F50" s="56">
        <v>0</v>
      </c>
      <c r="G50" s="56">
        <v>0</v>
      </c>
      <c r="H50" s="56">
        <v>12402</v>
      </c>
      <c r="I50" s="56">
        <v>12396</v>
      </c>
      <c r="J50" s="56">
        <v>474.8</v>
      </c>
      <c r="K50" s="56">
        <v>338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114">
        <f t="shared" si="1"/>
        <v>23533.899999999998</v>
      </c>
      <c r="R50" s="114">
        <f t="shared" si="2"/>
        <v>23391.1</v>
      </c>
      <c r="S50" s="21">
        <f>(J50+L50+O50)/Q50</f>
        <v>2.0175151589834243E-2</v>
      </c>
    </row>
    <row r="51" spans="1:19" ht="30" x14ac:dyDescent="0.25">
      <c r="A51" s="4">
        <v>44</v>
      </c>
      <c r="B51" s="62" t="s">
        <v>56</v>
      </c>
      <c r="C51" s="8">
        <f t="shared" si="0"/>
        <v>100</v>
      </c>
      <c r="D51" s="56">
        <v>13217.1</v>
      </c>
      <c r="E51" s="56">
        <v>13217.1</v>
      </c>
      <c r="F51" s="56">
        <v>0</v>
      </c>
      <c r="G51" s="56">
        <v>0</v>
      </c>
      <c r="H51" s="56">
        <v>2730.2688800000001</v>
      </c>
      <c r="I51" s="56">
        <v>2455.6361200000001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114">
        <f t="shared" si="1"/>
        <v>15947.36888</v>
      </c>
      <c r="R51" s="114">
        <f t="shared" si="2"/>
        <v>15672.736120000001</v>
      </c>
      <c r="S51" s="21">
        <f t="shared" ref="S51:S53" si="4">(J51+L51+O51)/Q51</f>
        <v>0</v>
      </c>
    </row>
    <row r="52" spans="1:19" ht="30" x14ac:dyDescent="0.25">
      <c r="A52" s="22">
        <v>45</v>
      </c>
      <c r="B52" s="62" t="s">
        <v>57</v>
      </c>
      <c r="C52" s="8">
        <f t="shared" si="0"/>
        <v>100</v>
      </c>
      <c r="D52" s="56">
        <v>14260.1</v>
      </c>
      <c r="E52" s="56">
        <f>D52</f>
        <v>14260.1</v>
      </c>
      <c r="F52" s="56">
        <v>0</v>
      </c>
      <c r="G52" s="56">
        <v>0</v>
      </c>
      <c r="H52" s="56">
        <v>2312.9949999999999</v>
      </c>
      <c r="I52" s="56">
        <v>2312.9949999999999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114">
        <f t="shared" si="1"/>
        <v>16573.095000000001</v>
      </c>
      <c r="R52" s="114">
        <f t="shared" si="2"/>
        <v>16573.095000000001</v>
      </c>
      <c r="S52" s="21">
        <f>(J52+L52+O52)/Q52</f>
        <v>0</v>
      </c>
    </row>
    <row r="53" spans="1:19" ht="30" x14ac:dyDescent="0.25">
      <c r="A53" s="4">
        <v>46</v>
      </c>
      <c r="B53" s="62" t="s">
        <v>58</v>
      </c>
      <c r="C53" s="8">
        <f t="shared" si="0"/>
        <v>100</v>
      </c>
      <c r="D53" s="56">
        <v>10641.1</v>
      </c>
      <c r="E53" s="56">
        <v>10641.1</v>
      </c>
      <c r="F53" s="56">
        <v>0</v>
      </c>
      <c r="G53" s="56">
        <v>0</v>
      </c>
      <c r="H53" s="56">
        <v>3652.3520699999999</v>
      </c>
      <c r="I53" s="56">
        <v>3652.95748</v>
      </c>
      <c r="J53" s="56">
        <v>177.57499999999999</v>
      </c>
      <c r="K53" s="56">
        <v>172.495</v>
      </c>
      <c r="L53" s="56">
        <v>0</v>
      </c>
      <c r="M53" s="56">
        <v>0</v>
      </c>
      <c r="N53" s="56">
        <v>0</v>
      </c>
      <c r="O53" s="56"/>
      <c r="P53" s="56"/>
      <c r="Q53" s="114">
        <f t="shared" si="1"/>
        <v>14471.02707</v>
      </c>
      <c r="R53" s="114">
        <f t="shared" si="2"/>
        <v>14466.55248</v>
      </c>
      <c r="S53" s="21">
        <f t="shared" si="4"/>
        <v>1.2271070957232339E-2</v>
      </c>
    </row>
    <row r="54" spans="1:19" ht="30" x14ac:dyDescent="0.25">
      <c r="A54" s="4">
        <v>47</v>
      </c>
      <c r="B54" s="62" t="s">
        <v>59</v>
      </c>
      <c r="C54" s="8">
        <f t="shared" si="0"/>
        <v>100</v>
      </c>
      <c r="D54" s="56">
        <v>13029.1</v>
      </c>
      <c r="E54" s="56">
        <v>13029.1</v>
      </c>
      <c r="F54" s="56">
        <v>0</v>
      </c>
      <c r="G54" s="56">
        <v>0</v>
      </c>
      <c r="H54" s="56">
        <v>2516.1550000000002</v>
      </c>
      <c r="I54" s="56">
        <v>2516.1550000000002</v>
      </c>
      <c r="J54" s="56">
        <v>0</v>
      </c>
      <c r="K54" s="56">
        <v>0</v>
      </c>
      <c r="L54" s="56">
        <v>20</v>
      </c>
      <c r="M54" s="56">
        <v>0</v>
      </c>
      <c r="N54" s="56">
        <v>10</v>
      </c>
      <c r="O54" s="56">
        <v>0</v>
      </c>
      <c r="P54" s="56">
        <v>0</v>
      </c>
      <c r="Q54" s="114">
        <f t="shared" si="1"/>
        <v>15565.255000000001</v>
      </c>
      <c r="R54" s="114">
        <f t="shared" si="2"/>
        <v>15555.255000000001</v>
      </c>
      <c r="S54" s="21">
        <f>(J54+L54+O54)/Q54</f>
        <v>1.284913096508859E-3</v>
      </c>
    </row>
    <row r="55" spans="1:19" ht="30" x14ac:dyDescent="0.25">
      <c r="A55" s="22">
        <v>48</v>
      </c>
      <c r="B55" s="62" t="s">
        <v>60</v>
      </c>
      <c r="C55" s="8">
        <f t="shared" si="0"/>
        <v>100</v>
      </c>
      <c r="D55" s="56">
        <v>7530.1</v>
      </c>
      <c r="E55" s="56">
        <f>D55</f>
        <v>7530.1</v>
      </c>
      <c r="F55" s="56">
        <v>0</v>
      </c>
      <c r="G55" s="56">
        <v>0</v>
      </c>
      <c r="H55" s="56">
        <v>9501.4075699999994</v>
      </c>
      <c r="I55" s="56">
        <v>9501.4075699999994</v>
      </c>
      <c r="J55" s="56"/>
      <c r="K55" s="56"/>
      <c r="L55" s="56">
        <v>0</v>
      </c>
      <c r="M55" s="56">
        <v>0</v>
      </c>
      <c r="N55" s="56">
        <v>0</v>
      </c>
      <c r="O55" s="56"/>
      <c r="P55" s="56"/>
      <c r="Q55" s="114">
        <f t="shared" si="1"/>
        <v>17031.507570000002</v>
      </c>
      <c r="R55" s="114">
        <f t="shared" si="2"/>
        <v>17031.507570000002</v>
      </c>
      <c r="S55" s="21">
        <f t="shared" si="3"/>
        <v>0</v>
      </c>
    </row>
    <row r="56" spans="1:19" ht="30" x14ac:dyDescent="0.25">
      <c r="A56" s="4">
        <v>49</v>
      </c>
      <c r="B56" s="62" t="s">
        <v>61</v>
      </c>
      <c r="C56" s="8">
        <f t="shared" si="0"/>
        <v>100</v>
      </c>
      <c r="D56" s="56">
        <v>9701.1</v>
      </c>
      <c r="E56" s="56">
        <v>9701.1</v>
      </c>
      <c r="F56" s="56">
        <v>0</v>
      </c>
      <c r="G56" s="56">
        <v>0</v>
      </c>
      <c r="H56" s="56">
        <v>2674.7651000000001</v>
      </c>
      <c r="I56" s="56">
        <v>2674.58176</v>
      </c>
      <c r="J56" s="56">
        <v>287.82</v>
      </c>
      <c r="K56" s="56">
        <v>280.30536999999998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114">
        <f t="shared" si="1"/>
        <v>12663.685100000001</v>
      </c>
      <c r="R56" s="114">
        <f t="shared" si="2"/>
        <v>12655.98713</v>
      </c>
      <c r="S56" s="21">
        <f t="shared" si="3"/>
        <v>2.2727981446727538E-2</v>
      </c>
    </row>
    <row r="57" spans="1:19" ht="30" x14ac:dyDescent="0.25">
      <c r="A57" s="4">
        <v>50</v>
      </c>
      <c r="B57" s="62" t="s">
        <v>62</v>
      </c>
      <c r="C57" s="8">
        <f>E57/D57*100</f>
        <v>100</v>
      </c>
      <c r="D57" s="56">
        <v>15135.1</v>
      </c>
      <c r="E57" s="56">
        <v>15135.1</v>
      </c>
      <c r="F57" s="56">
        <v>0</v>
      </c>
      <c r="G57" s="56">
        <v>0</v>
      </c>
      <c r="H57" s="56">
        <v>3587.5324000000001</v>
      </c>
      <c r="I57" s="56">
        <v>3587.5323600000002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114">
        <f t="shared" si="1"/>
        <v>18722.632400000002</v>
      </c>
      <c r="R57" s="114">
        <f t="shared" si="2"/>
        <v>18722.63236</v>
      </c>
      <c r="S57" s="21">
        <f t="shared" si="3"/>
        <v>0</v>
      </c>
    </row>
    <row r="58" spans="1:19" ht="30" x14ac:dyDescent="0.25">
      <c r="A58" s="22">
        <v>51</v>
      </c>
      <c r="B58" s="62" t="s">
        <v>63</v>
      </c>
      <c r="C58" s="8">
        <f t="shared" si="0"/>
        <v>100</v>
      </c>
      <c r="D58" s="56">
        <v>8352.1</v>
      </c>
      <c r="E58" s="56">
        <f>D58</f>
        <v>8352.1</v>
      </c>
      <c r="F58" s="56">
        <v>0</v>
      </c>
      <c r="G58" s="56">
        <v>0</v>
      </c>
      <c r="H58" s="56">
        <v>9534.2000000000007</v>
      </c>
      <c r="I58" s="56">
        <v>9520.9</v>
      </c>
      <c r="J58" s="56">
        <v>0</v>
      </c>
      <c r="K58" s="56">
        <v>5.0999999999999996</v>
      </c>
      <c r="L58" s="56">
        <v>0</v>
      </c>
      <c r="M58" s="56">
        <v>0</v>
      </c>
      <c r="N58" s="56">
        <v>0</v>
      </c>
      <c r="O58" s="56">
        <v>20</v>
      </c>
      <c r="P58" s="56">
        <v>0</v>
      </c>
      <c r="Q58" s="114">
        <f t="shared" si="1"/>
        <v>17906.300000000003</v>
      </c>
      <c r="R58" s="114">
        <f t="shared" si="2"/>
        <v>17878.099999999999</v>
      </c>
      <c r="S58" s="21">
        <f t="shared" si="3"/>
        <v>1.1169253279571993E-3</v>
      </c>
    </row>
    <row r="59" spans="1:19" ht="30" x14ac:dyDescent="0.25">
      <c r="A59" s="4">
        <v>52</v>
      </c>
      <c r="B59" s="62" t="s">
        <v>64</v>
      </c>
      <c r="C59" s="8">
        <f t="shared" si="0"/>
        <v>100</v>
      </c>
      <c r="D59" s="56">
        <v>14270.1</v>
      </c>
      <c r="E59" s="56">
        <f>D59</f>
        <v>14270.1</v>
      </c>
      <c r="F59" s="56">
        <v>0</v>
      </c>
      <c r="G59" s="56">
        <v>0</v>
      </c>
      <c r="H59" s="56">
        <v>2878.9454300000002</v>
      </c>
      <c r="I59" s="56">
        <v>2875.9454300000002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114">
        <f t="shared" si="1"/>
        <v>17149.045430000002</v>
      </c>
      <c r="R59" s="114">
        <f t="shared" si="2"/>
        <v>17146.045430000002</v>
      </c>
      <c r="S59" s="21">
        <f>(J59+L59+O59)/Q59</f>
        <v>0</v>
      </c>
    </row>
    <row r="60" spans="1:19" ht="30" x14ac:dyDescent="0.25">
      <c r="A60" s="4">
        <v>53</v>
      </c>
      <c r="B60" s="62" t="s">
        <v>65</v>
      </c>
      <c r="C60" s="8">
        <f t="shared" si="0"/>
        <v>100</v>
      </c>
      <c r="D60" s="56">
        <v>15925.1</v>
      </c>
      <c r="E60" s="56">
        <f>D60</f>
        <v>15925.1</v>
      </c>
      <c r="F60" s="56">
        <v>0</v>
      </c>
      <c r="G60" s="56">
        <v>0</v>
      </c>
      <c r="H60" s="56">
        <v>3291.9106000000002</v>
      </c>
      <c r="I60" s="56">
        <v>3285.2026000000001</v>
      </c>
      <c r="J60" s="56">
        <v>15</v>
      </c>
      <c r="K60" s="56">
        <v>0</v>
      </c>
      <c r="L60" s="56">
        <v>0</v>
      </c>
      <c r="M60" s="56">
        <v>0</v>
      </c>
      <c r="N60" s="56">
        <v>0</v>
      </c>
      <c r="O60" s="56"/>
      <c r="P60" s="56"/>
      <c r="Q60" s="114">
        <f t="shared" si="1"/>
        <v>19232.010600000001</v>
      </c>
      <c r="R60" s="114">
        <f t="shared" si="2"/>
        <v>19210.302599999999</v>
      </c>
      <c r="S60" s="21">
        <f t="shared" si="3"/>
        <v>7.7994965331393891E-4</v>
      </c>
    </row>
    <row r="61" spans="1:19" ht="30" x14ac:dyDescent="0.25">
      <c r="A61" s="22">
        <v>54</v>
      </c>
      <c r="B61" s="62" t="s">
        <v>66</v>
      </c>
      <c r="C61" s="8">
        <f t="shared" si="0"/>
        <v>100</v>
      </c>
      <c r="D61" s="56">
        <v>13646.5</v>
      </c>
      <c r="E61" s="56">
        <v>13646.5</v>
      </c>
      <c r="F61" s="56">
        <v>0</v>
      </c>
      <c r="G61" s="56">
        <v>0</v>
      </c>
      <c r="H61" s="56">
        <v>6955.94</v>
      </c>
      <c r="I61" s="56">
        <v>6952.08</v>
      </c>
      <c r="J61" s="56">
        <v>650</v>
      </c>
      <c r="K61" s="56">
        <v>504.26015999999998</v>
      </c>
      <c r="L61" s="56">
        <v>0</v>
      </c>
      <c r="M61" s="56">
        <v>0</v>
      </c>
      <c r="N61" s="56">
        <v>0</v>
      </c>
      <c r="O61" s="56">
        <v>30</v>
      </c>
      <c r="P61" s="56">
        <v>0</v>
      </c>
      <c r="Q61" s="114">
        <f t="shared" si="1"/>
        <v>21282.44</v>
      </c>
      <c r="R61" s="114">
        <f t="shared" si="2"/>
        <v>21102.840160000003</v>
      </c>
      <c r="S61" s="21">
        <f t="shared" si="3"/>
        <v>3.1951223637891144E-2</v>
      </c>
    </row>
    <row r="62" spans="1:19" ht="30" x14ac:dyDescent="0.25">
      <c r="A62" s="4">
        <v>55</v>
      </c>
      <c r="B62" s="62" t="s">
        <v>67</v>
      </c>
      <c r="C62" s="8">
        <f t="shared" si="0"/>
        <v>100</v>
      </c>
      <c r="D62" s="56">
        <v>15907.1</v>
      </c>
      <c r="E62" s="56">
        <v>15907.1</v>
      </c>
      <c r="F62" s="56">
        <v>0</v>
      </c>
      <c r="G62" s="56">
        <v>0</v>
      </c>
      <c r="H62" s="56">
        <v>3034.0992000000001</v>
      </c>
      <c r="I62" s="56">
        <v>3030.0992000000001</v>
      </c>
      <c r="J62" s="56">
        <v>649.6</v>
      </c>
      <c r="K62" s="56">
        <v>309.649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114">
        <f t="shared" si="1"/>
        <v>19590.799199999998</v>
      </c>
      <c r="R62" s="114">
        <f t="shared" si="2"/>
        <v>19246.8482</v>
      </c>
      <c r="S62" s="21">
        <f t="shared" si="3"/>
        <v>3.3158422653834362E-2</v>
      </c>
    </row>
    <row r="63" spans="1:19" ht="30" x14ac:dyDescent="0.25">
      <c r="A63" s="4">
        <v>56</v>
      </c>
      <c r="B63" s="62" t="s">
        <v>68</v>
      </c>
      <c r="C63" s="8">
        <f t="shared" si="0"/>
        <v>100</v>
      </c>
      <c r="D63" s="56">
        <v>6975.9</v>
      </c>
      <c r="E63" s="56">
        <f>D63</f>
        <v>6975.9</v>
      </c>
      <c r="F63" s="56">
        <v>0</v>
      </c>
      <c r="G63" s="56">
        <v>0</v>
      </c>
      <c r="H63" s="56">
        <v>1106.6479999999999</v>
      </c>
      <c r="I63" s="56">
        <v>1106.6479999999999</v>
      </c>
      <c r="J63" s="56">
        <v>335</v>
      </c>
      <c r="K63" s="56">
        <v>234.45500000000001</v>
      </c>
      <c r="L63" s="56">
        <v>0</v>
      </c>
      <c r="M63" s="56">
        <v>0</v>
      </c>
      <c r="N63" s="56">
        <v>0</v>
      </c>
      <c r="O63" s="56">
        <v>130</v>
      </c>
      <c r="P63" s="56">
        <v>80</v>
      </c>
      <c r="Q63" s="114">
        <f t="shared" si="1"/>
        <v>8547.5479999999989</v>
      </c>
      <c r="R63" s="114">
        <f t="shared" si="2"/>
        <v>8397.0030000000006</v>
      </c>
      <c r="S63" s="21">
        <f t="shared" si="3"/>
        <v>5.4401566390735692E-2</v>
      </c>
    </row>
    <row r="64" spans="1:19" ht="30" x14ac:dyDescent="0.25">
      <c r="A64" s="22">
        <v>57</v>
      </c>
      <c r="B64" s="62" t="s">
        <v>69</v>
      </c>
      <c r="C64" s="8">
        <f t="shared" si="0"/>
        <v>100</v>
      </c>
      <c r="D64" s="56">
        <v>7808.1</v>
      </c>
      <c r="E64" s="56">
        <v>7808.1</v>
      </c>
      <c r="F64" s="56">
        <v>0</v>
      </c>
      <c r="G64" s="56">
        <v>0</v>
      </c>
      <c r="H64" s="56">
        <v>12295.70825</v>
      </c>
      <c r="I64" s="56">
        <v>12293.70825</v>
      </c>
      <c r="J64" s="56">
        <v>0</v>
      </c>
      <c r="K64" s="56">
        <v>0</v>
      </c>
      <c r="L64" s="56">
        <v>0</v>
      </c>
      <c r="M64" s="56">
        <v>0</v>
      </c>
      <c r="N64" s="56">
        <v>27.756</v>
      </c>
      <c r="O64" s="56">
        <v>60</v>
      </c>
      <c r="P64" s="56">
        <v>0</v>
      </c>
      <c r="Q64" s="114">
        <f t="shared" si="1"/>
        <v>20163.808250000002</v>
      </c>
      <c r="R64" s="114">
        <f t="shared" si="2"/>
        <v>20129.564250000003</v>
      </c>
      <c r="S64" s="21">
        <f t="shared" si="3"/>
        <v>2.9756283761526049E-3</v>
      </c>
    </row>
    <row r="65" spans="1:19" x14ac:dyDescent="0.25">
      <c r="A65" s="4">
        <v>58</v>
      </c>
      <c r="B65" s="62" t="s">
        <v>70</v>
      </c>
      <c r="C65" s="8">
        <f t="shared" si="0"/>
        <v>100</v>
      </c>
      <c r="D65" s="56">
        <v>2231.9</v>
      </c>
      <c r="E65" s="56">
        <f>D65</f>
        <v>2231.9</v>
      </c>
      <c r="F65" s="56">
        <v>0</v>
      </c>
      <c r="G65" s="56">
        <v>0</v>
      </c>
      <c r="H65" s="56">
        <v>1306.117</v>
      </c>
      <c r="I65" s="56">
        <v>1279.9746700000001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114">
        <f t="shared" si="1"/>
        <v>3538.0169999999998</v>
      </c>
      <c r="R65" s="114">
        <f t="shared" si="2"/>
        <v>3511.8746700000002</v>
      </c>
      <c r="S65" s="21">
        <f t="shared" si="3"/>
        <v>0</v>
      </c>
    </row>
    <row r="66" spans="1:19" x14ac:dyDescent="0.25">
      <c r="A66" s="4">
        <v>59</v>
      </c>
      <c r="B66" s="62" t="s">
        <v>71</v>
      </c>
      <c r="C66" s="8">
        <f t="shared" si="0"/>
        <v>100</v>
      </c>
      <c r="D66" s="56">
        <v>2891.3</v>
      </c>
      <c r="E66" s="56">
        <f>D66</f>
        <v>2891.3</v>
      </c>
      <c r="F66" s="56">
        <v>0</v>
      </c>
      <c r="G66" s="56">
        <v>0</v>
      </c>
      <c r="H66" s="56">
        <v>1847.9666999999999</v>
      </c>
      <c r="I66" s="56">
        <v>1830.6919499999999</v>
      </c>
      <c r="J66" s="56"/>
      <c r="K66" s="56"/>
      <c r="L66" s="56">
        <v>0</v>
      </c>
      <c r="M66" s="56">
        <v>0</v>
      </c>
      <c r="N66" s="56">
        <v>0</v>
      </c>
      <c r="O66" s="56">
        <v>25</v>
      </c>
      <c r="P66" s="56">
        <v>33.5</v>
      </c>
      <c r="Q66" s="114">
        <f t="shared" si="1"/>
        <v>4764.2667000000001</v>
      </c>
      <c r="R66" s="114">
        <f t="shared" si="2"/>
        <v>4755.4919499999996</v>
      </c>
      <c r="S66" s="21">
        <f t="shared" si="3"/>
        <v>5.2473972542301213E-3</v>
      </c>
    </row>
    <row r="67" spans="1:19" ht="30" x14ac:dyDescent="0.25">
      <c r="A67" s="22">
        <v>60</v>
      </c>
      <c r="B67" s="62" t="s">
        <v>72</v>
      </c>
      <c r="C67" s="8">
        <f>E67/D67*100</f>
        <v>100</v>
      </c>
      <c r="D67" s="56">
        <v>3550.8</v>
      </c>
      <c r="E67" s="56">
        <v>3550.8</v>
      </c>
      <c r="F67" s="56">
        <v>0</v>
      </c>
      <c r="G67" s="56">
        <v>0</v>
      </c>
      <c r="H67" s="56">
        <v>2206.8824</v>
      </c>
      <c r="I67" s="56">
        <v>2204.9934699999999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114">
        <f t="shared" si="1"/>
        <v>5757.6823999999997</v>
      </c>
      <c r="R67" s="114">
        <f t="shared" si="2"/>
        <v>5755.7934700000005</v>
      </c>
      <c r="S67" s="21">
        <f>(J67+L67+O67)/Q67</f>
        <v>0</v>
      </c>
    </row>
    <row r="68" spans="1:19" ht="30" x14ac:dyDescent="0.25">
      <c r="A68" s="4">
        <v>61</v>
      </c>
      <c r="B68" s="62" t="s">
        <v>73</v>
      </c>
      <c r="C68" s="8">
        <f t="shared" si="0"/>
        <v>100</v>
      </c>
      <c r="D68" s="56">
        <v>2169.9</v>
      </c>
      <c r="E68" s="56">
        <f>D68</f>
        <v>2169.9</v>
      </c>
      <c r="F68" s="56">
        <v>0</v>
      </c>
      <c r="G68" s="56">
        <v>0</v>
      </c>
      <c r="H68" s="56">
        <v>1647.3805</v>
      </c>
      <c r="I68" s="56">
        <v>1609.52802</v>
      </c>
      <c r="J68" s="56"/>
      <c r="K68" s="56"/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114">
        <f t="shared" si="1"/>
        <v>3817.2804999999998</v>
      </c>
      <c r="R68" s="114">
        <f t="shared" si="2"/>
        <v>3779.4280200000003</v>
      </c>
      <c r="S68" s="21">
        <f t="shared" si="3"/>
        <v>0</v>
      </c>
    </row>
    <row r="69" spans="1:19" ht="30" x14ac:dyDescent="0.25">
      <c r="A69" s="4">
        <v>62</v>
      </c>
      <c r="B69" s="62" t="s">
        <v>74</v>
      </c>
      <c r="C69" s="8">
        <f t="shared" si="0"/>
        <v>100</v>
      </c>
      <c r="D69" s="56">
        <v>3165</v>
      </c>
      <c r="E69" s="56">
        <f>D69</f>
        <v>3165</v>
      </c>
      <c r="F69" s="56">
        <v>0</v>
      </c>
      <c r="G69" s="56">
        <v>0</v>
      </c>
      <c r="H69" s="56">
        <v>1601.7962</v>
      </c>
      <c r="I69" s="56">
        <v>1565.02658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76</v>
      </c>
      <c r="P69" s="56">
        <v>6</v>
      </c>
      <c r="Q69" s="114">
        <f t="shared" si="1"/>
        <v>4842.7961999999998</v>
      </c>
      <c r="R69" s="114">
        <f t="shared" si="2"/>
        <v>4736.0265799999997</v>
      </c>
      <c r="S69" s="21">
        <f t="shared" si="3"/>
        <v>1.5693412826251082E-2</v>
      </c>
    </row>
    <row r="70" spans="1:19" ht="30" x14ac:dyDescent="0.25">
      <c r="A70" s="22">
        <v>63</v>
      </c>
      <c r="B70" s="62" t="s">
        <v>75</v>
      </c>
      <c r="C70" s="8">
        <f>E70/D70*100</f>
        <v>100</v>
      </c>
      <c r="D70" s="56">
        <v>1165.3</v>
      </c>
      <c r="E70" s="56">
        <v>1165.3</v>
      </c>
      <c r="F70" s="56">
        <v>0</v>
      </c>
      <c r="G70" s="56">
        <v>0</v>
      </c>
      <c r="H70" s="56">
        <v>348.16800000000001</v>
      </c>
      <c r="I70" s="56">
        <v>348.017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114">
        <f t="shared" si="1"/>
        <v>1513.4679999999998</v>
      </c>
      <c r="R70" s="114">
        <f t="shared" si="2"/>
        <v>1513.317</v>
      </c>
      <c r="S70" s="21">
        <f t="shared" si="3"/>
        <v>0</v>
      </c>
    </row>
    <row r="71" spans="1:19" ht="30" x14ac:dyDescent="0.25">
      <c r="A71" s="4">
        <v>64</v>
      </c>
      <c r="B71" s="62" t="s">
        <v>76</v>
      </c>
      <c r="C71" s="8">
        <f>E71/D71*100</f>
        <v>100</v>
      </c>
      <c r="D71" s="56">
        <v>3885.75</v>
      </c>
      <c r="E71" s="56">
        <f>D71</f>
        <v>3885.75</v>
      </c>
      <c r="F71" s="56">
        <v>0</v>
      </c>
      <c r="G71" s="56">
        <v>0</v>
      </c>
      <c r="H71" s="56">
        <v>4607.7871999999998</v>
      </c>
      <c r="I71" s="56">
        <v>4356.7265500000003</v>
      </c>
      <c r="J71" s="56">
        <v>442.28</v>
      </c>
      <c r="K71" s="56">
        <v>377.28</v>
      </c>
      <c r="L71" s="56">
        <v>0</v>
      </c>
      <c r="M71" s="56">
        <v>0</v>
      </c>
      <c r="N71" s="56">
        <v>0</v>
      </c>
      <c r="O71" s="56">
        <v>60</v>
      </c>
      <c r="P71" s="56">
        <v>11</v>
      </c>
      <c r="Q71" s="114">
        <f t="shared" si="1"/>
        <v>8995.8171999999995</v>
      </c>
      <c r="R71" s="114">
        <f t="shared" si="2"/>
        <v>8630.7565500000001</v>
      </c>
      <c r="S71" s="21">
        <f>(J71+L71+O71)/Q71</f>
        <v>5.5834838440247538E-2</v>
      </c>
    </row>
    <row r="72" spans="1:19" ht="30" x14ac:dyDescent="0.25">
      <c r="A72" s="4">
        <v>65</v>
      </c>
      <c r="B72" s="62" t="s">
        <v>77</v>
      </c>
      <c r="C72" s="8">
        <f>E72/D72*100</f>
        <v>100</v>
      </c>
      <c r="D72" s="56">
        <v>2089.8000000000002</v>
      </c>
      <c r="E72" s="56">
        <f>D72</f>
        <v>2089.8000000000002</v>
      </c>
      <c r="F72" s="56">
        <v>0</v>
      </c>
      <c r="G72" s="56">
        <v>0</v>
      </c>
      <c r="H72" s="56">
        <v>1441.3307</v>
      </c>
      <c r="I72" s="56">
        <v>1423.66356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114">
        <f t="shared" si="1"/>
        <v>3531.1307000000002</v>
      </c>
      <c r="R72" s="114">
        <f t="shared" si="2"/>
        <v>3513.4635600000001</v>
      </c>
      <c r="S72" s="21">
        <f t="shared" si="3"/>
        <v>0</v>
      </c>
    </row>
    <row r="73" spans="1:19" x14ac:dyDescent="0.25">
      <c r="A73" s="22">
        <v>66</v>
      </c>
      <c r="B73" s="62" t="s">
        <v>78</v>
      </c>
      <c r="C73" s="8">
        <f>E73/D73*100</f>
        <v>100</v>
      </c>
      <c r="D73" s="56">
        <v>1268.4000000000001</v>
      </c>
      <c r="E73" s="56">
        <f>D73</f>
        <v>1268.4000000000001</v>
      </c>
      <c r="F73" s="56">
        <v>0</v>
      </c>
      <c r="G73" s="56">
        <v>0</v>
      </c>
      <c r="H73" s="56">
        <v>602.98109999999997</v>
      </c>
      <c r="I73" s="56">
        <v>595.96284000000003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114">
        <f t="shared" ref="Q73:Q79" si="5">D73+F73+H73+J73+L73+O73</f>
        <v>1871.3811000000001</v>
      </c>
      <c r="R73" s="114">
        <f t="shared" ref="R73:R79" si="6">E73+G73+I73+K73+N73+P73</f>
        <v>1864.3628400000002</v>
      </c>
      <c r="S73" s="21">
        <f t="shared" ref="S73:S78" si="7">(J73+L73+O73)/Q73</f>
        <v>0</v>
      </c>
    </row>
    <row r="74" spans="1:19" ht="75" x14ac:dyDescent="0.25">
      <c r="A74" s="40">
        <v>67</v>
      </c>
      <c r="B74" s="62" t="s">
        <v>149</v>
      </c>
      <c r="C74" s="27">
        <v>9.5</v>
      </c>
      <c r="D74" s="94">
        <v>4390</v>
      </c>
      <c r="E74" s="94">
        <v>4390</v>
      </c>
      <c r="F74" s="93">
        <v>0</v>
      </c>
      <c r="G74" s="93">
        <v>0</v>
      </c>
      <c r="H74" s="98">
        <v>1552.6</v>
      </c>
      <c r="I74" s="94">
        <v>1552.55</v>
      </c>
      <c r="J74" s="90">
        <v>0</v>
      </c>
      <c r="K74" s="90">
        <v>0</v>
      </c>
      <c r="L74" s="90">
        <v>0</v>
      </c>
      <c r="M74" s="90">
        <v>0</v>
      </c>
      <c r="N74" s="90">
        <v>0</v>
      </c>
      <c r="O74" s="96">
        <v>483.45299999999997</v>
      </c>
      <c r="P74" s="96">
        <v>383.45299999999997</v>
      </c>
      <c r="Q74" s="114">
        <f t="shared" si="5"/>
        <v>6426.0529999999999</v>
      </c>
      <c r="R74" s="114">
        <f t="shared" si="6"/>
        <v>6326.0030000000006</v>
      </c>
      <c r="S74" s="111">
        <f>(J74+L74+O74)/Q74</f>
        <v>7.5233273052681016E-2</v>
      </c>
    </row>
    <row r="75" spans="1:19" ht="60" x14ac:dyDescent="0.25">
      <c r="A75" s="40">
        <v>68</v>
      </c>
      <c r="B75" s="62" t="s">
        <v>144</v>
      </c>
      <c r="C75" s="27">
        <v>8.3000000000000007</v>
      </c>
      <c r="D75" s="95">
        <v>3643</v>
      </c>
      <c r="E75" s="95">
        <v>3643</v>
      </c>
      <c r="F75" s="93">
        <v>0</v>
      </c>
      <c r="G75" s="93">
        <v>0</v>
      </c>
      <c r="H75" s="95">
        <v>1260</v>
      </c>
      <c r="I75" s="95">
        <v>1239.7</v>
      </c>
      <c r="J75" s="90">
        <v>0</v>
      </c>
      <c r="K75" s="90">
        <v>0</v>
      </c>
      <c r="L75" s="89">
        <v>0</v>
      </c>
      <c r="M75" s="89">
        <v>0</v>
      </c>
      <c r="N75" s="89">
        <v>0</v>
      </c>
      <c r="O75" s="96">
        <v>98.182779999999994</v>
      </c>
      <c r="P75" s="96">
        <v>96.223280000000003</v>
      </c>
      <c r="Q75" s="114">
        <f t="shared" si="5"/>
        <v>5001.1827800000001</v>
      </c>
      <c r="R75" s="114">
        <f t="shared" si="6"/>
        <v>4978.92328</v>
      </c>
      <c r="S75" s="21">
        <f t="shared" si="7"/>
        <v>1.963191195343594E-2</v>
      </c>
    </row>
    <row r="76" spans="1:19" ht="75" x14ac:dyDescent="0.25">
      <c r="A76" s="40">
        <v>69</v>
      </c>
      <c r="B76" s="62" t="s">
        <v>145</v>
      </c>
      <c r="C76" s="27">
        <v>15.8</v>
      </c>
      <c r="D76" s="94">
        <v>4370</v>
      </c>
      <c r="E76" s="94">
        <v>4370</v>
      </c>
      <c r="F76" s="93">
        <v>0</v>
      </c>
      <c r="G76" s="93">
        <v>0</v>
      </c>
      <c r="H76" s="94">
        <v>1866.8</v>
      </c>
      <c r="I76" s="94">
        <v>1866.8</v>
      </c>
      <c r="J76" s="90">
        <v>0</v>
      </c>
      <c r="K76" s="90">
        <v>0</v>
      </c>
      <c r="L76" s="88">
        <v>0</v>
      </c>
      <c r="M76" s="88">
        <v>0</v>
      </c>
      <c r="N76" s="88">
        <v>0</v>
      </c>
      <c r="O76" s="96">
        <v>273.48890999999998</v>
      </c>
      <c r="P76" s="96">
        <v>262.79000000000002</v>
      </c>
      <c r="Q76" s="114">
        <f t="shared" si="5"/>
        <v>6510.2889100000002</v>
      </c>
      <c r="R76" s="114">
        <f t="shared" si="6"/>
        <v>6499.59</v>
      </c>
      <c r="S76" s="21">
        <f>(J76+L76+O76)/Q76</f>
        <v>4.2008720930942524E-2</v>
      </c>
    </row>
    <row r="77" spans="1:19" ht="60" x14ac:dyDescent="0.25">
      <c r="A77" s="40">
        <v>70</v>
      </c>
      <c r="B77" s="62" t="s">
        <v>146</v>
      </c>
      <c r="C77" s="27">
        <v>14.9</v>
      </c>
      <c r="D77" s="94">
        <v>4504</v>
      </c>
      <c r="E77" s="98">
        <v>4504</v>
      </c>
      <c r="F77" s="99">
        <v>0</v>
      </c>
      <c r="G77" s="99">
        <v>0</v>
      </c>
      <c r="H77" s="98">
        <v>2184.8000000000002</v>
      </c>
      <c r="I77" s="94">
        <v>2135.2800000000002</v>
      </c>
      <c r="J77" s="90">
        <v>0</v>
      </c>
      <c r="K77" s="90">
        <v>0</v>
      </c>
      <c r="L77" s="100">
        <v>0</v>
      </c>
      <c r="M77" s="100">
        <v>0</v>
      </c>
      <c r="N77" s="100">
        <v>0</v>
      </c>
      <c r="O77" s="96">
        <v>252.05</v>
      </c>
      <c r="P77" s="96">
        <v>286.59491000000003</v>
      </c>
      <c r="Q77" s="114">
        <f t="shared" si="5"/>
        <v>6940.85</v>
      </c>
      <c r="R77" s="114">
        <f t="shared" si="6"/>
        <v>6925.8749100000005</v>
      </c>
      <c r="S77" s="21">
        <f t="shared" si="7"/>
        <v>3.6313996124393989E-2</v>
      </c>
    </row>
    <row r="78" spans="1:19" ht="75" x14ac:dyDescent="0.25">
      <c r="A78" s="40">
        <v>71</v>
      </c>
      <c r="B78" s="62" t="s">
        <v>147</v>
      </c>
      <c r="C78" s="27">
        <v>22.5</v>
      </c>
      <c r="D78" s="95">
        <v>6676</v>
      </c>
      <c r="E78" s="98">
        <v>6676</v>
      </c>
      <c r="F78" s="99">
        <v>0</v>
      </c>
      <c r="G78" s="99">
        <v>0</v>
      </c>
      <c r="H78" s="98">
        <v>2424</v>
      </c>
      <c r="I78" s="98">
        <v>2403.6999999999998</v>
      </c>
      <c r="J78" s="101">
        <v>0</v>
      </c>
      <c r="K78" s="101">
        <v>0</v>
      </c>
      <c r="L78" s="98">
        <v>30.4</v>
      </c>
      <c r="M78" s="95">
        <v>30.4</v>
      </c>
      <c r="N78" s="95">
        <v>30.4</v>
      </c>
      <c r="O78" s="96">
        <v>304.94</v>
      </c>
      <c r="P78" s="96">
        <v>280.58781000000005</v>
      </c>
      <c r="Q78" s="114">
        <f t="shared" si="5"/>
        <v>9435.34</v>
      </c>
      <c r="R78" s="114">
        <f t="shared" si="6"/>
        <v>9390.6878100000013</v>
      </c>
      <c r="S78" s="21">
        <f t="shared" si="7"/>
        <v>3.5540849614322322E-2</v>
      </c>
    </row>
    <row r="79" spans="1:19" x14ac:dyDescent="0.25">
      <c r="A79" s="40">
        <v>72</v>
      </c>
      <c r="B79" s="62" t="s">
        <v>148</v>
      </c>
      <c r="C79" s="40">
        <v>9</v>
      </c>
      <c r="D79" s="94">
        <v>1466</v>
      </c>
      <c r="E79" s="94">
        <v>1466</v>
      </c>
      <c r="F79" s="93">
        <v>0</v>
      </c>
      <c r="G79" s="93">
        <v>0</v>
      </c>
      <c r="H79" s="92">
        <v>0</v>
      </c>
      <c r="I79" s="92">
        <v>0</v>
      </c>
      <c r="J79" s="92">
        <v>0</v>
      </c>
      <c r="K79" s="92">
        <v>0</v>
      </c>
      <c r="L79" s="92">
        <v>0</v>
      </c>
      <c r="M79" s="92">
        <v>0</v>
      </c>
      <c r="N79" s="92">
        <v>0</v>
      </c>
      <c r="O79" s="92">
        <v>0</v>
      </c>
      <c r="P79" s="92">
        <v>0</v>
      </c>
      <c r="Q79" s="114">
        <f t="shared" si="5"/>
        <v>1466</v>
      </c>
      <c r="R79" s="114">
        <f t="shared" si="6"/>
        <v>1466</v>
      </c>
      <c r="S79" s="21">
        <f>(J79+L79+O79)/Q79</f>
        <v>0</v>
      </c>
    </row>
    <row r="80" spans="1:19" s="72" customFormat="1" x14ac:dyDescent="0.25">
      <c r="A80" s="91"/>
      <c r="B80" s="104" t="s">
        <v>130</v>
      </c>
      <c r="C80" s="104"/>
      <c r="D80" s="102">
        <f>SUM(D8:D79)</f>
        <v>803121.35564999981</v>
      </c>
      <c r="E80" s="102">
        <f t="shared" ref="E80:P80" si="8">SUM(E8:E79)</f>
        <v>803121.35564999981</v>
      </c>
      <c r="F80" s="102">
        <f>SUM(F8:F79)</f>
        <v>0</v>
      </c>
      <c r="G80" s="102">
        <f t="shared" si="8"/>
        <v>-9045.5881100000006</v>
      </c>
      <c r="H80" s="102">
        <f t="shared" si="8"/>
        <v>308280.07023999991</v>
      </c>
      <c r="I80" s="102">
        <f t="shared" si="8"/>
        <v>306552.09951000015</v>
      </c>
      <c r="J80" s="102">
        <f t="shared" si="8"/>
        <v>49032.798059999994</v>
      </c>
      <c r="K80" s="102">
        <f t="shared" si="8"/>
        <v>42801.461450000003</v>
      </c>
      <c r="L80" s="102">
        <f t="shared" si="8"/>
        <v>254.53376</v>
      </c>
      <c r="M80" s="102">
        <f t="shared" si="8"/>
        <v>30.4</v>
      </c>
      <c r="N80" s="102">
        <f t="shared" si="8"/>
        <v>198.45120000000003</v>
      </c>
      <c r="O80" s="102">
        <f t="shared" si="8"/>
        <v>2516.7279100000001</v>
      </c>
      <c r="P80" s="102">
        <f t="shared" si="8"/>
        <v>1803.4232200000001</v>
      </c>
      <c r="Q80" s="102">
        <f>SUM(Q8:Q79)</f>
        <v>1163205.4856200004</v>
      </c>
      <c r="R80" s="102">
        <f>SUM(R8:R79)</f>
        <v>1145431.2029200003</v>
      </c>
      <c r="S80" s="105">
        <f>(J80+L80+O80)/Q80</f>
        <v>4.4535604732286745E-2</v>
      </c>
    </row>
    <row r="81" spans="2:18" hidden="1" x14ac:dyDescent="0.25">
      <c r="B81" s="2"/>
      <c r="C81" s="2"/>
      <c r="D81" s="2">
        <v>25049</v>
      </c>
      <c r="E81" s="2">
        <v>25049</v>
      </c>
      <c r="H81" s="2">
        <v>9288.2000000000007</v>
      </c>
      <c r="I81" s="2">
        <v>9198.0300000000007</v>
      </c>
      <c r="L81" s="2">
        <v>30.4</v>
      </c>
      <c r="M81" s="2">
        <v>30.4</v>
      </c>
      <c r="N81" s="2">
        <v>30.4</v>
      </c>
      <c r="O81" s="2">
        <v>1412.11</v>
      </c>
      <c r="P81" s="2">
        <v>1309.6500000000001</v>
      </c>
      <c r="Q81" s="72">
        <v>35779.71</v>
      </c>
      <c r="R81" s="72">
        <v>35587.08</v>
      </c>
    </row>
    <row r="82" spans="2:18" hidden="1" x14ac:dyDescent="0.25">
      <c r="B82" s="2"/>
      <c r="C82" s="2"/>
      <c r="D82" s="37">
        <f>778072.36+D81-D80</f>
        <v>4.3500001775100827E-3</v>
      </c>
      <c r="E82" s="37">
        <f>E81+778072.36-E80</f>
        <v>4.3500001775100827E-3</v>
      </c>
      <c r="F82" s="37">
        <f>F81+0</f>
        <v>0</v>
      </c>
      <c r="G82" s="37">
        <f>9045.59+G81+G80</f>
        <v>1.8899999995483086E-3</v>
      </c>
      <c r="H82" s="37">
        <f>298991.87+H81-H80</f>
        <v>-2.3999990662559867E-4</v>
      </c>
      <c r="I82" s="37">
        <f>I81+297354.07-I80</f>
        <v>4.8999988939613104E-4</v>
      </c>
      <c r="J82" s="37">
        <f>49032.8+J81-J80</f>
        <v>1.9400000091991387E-3</v>
      </c>
      <c r="K82" s="37">
        <f>42801.46+K81-K80</f>
        <v>-1.4500000033876859E-3</v>
      </c>
      <c r="L82" s="37">
        <f>224.13+L81-L80</f>
        <v>-3.7599999999997635E-3</v>
      </c>
      <c r="M82" s="37">
        <f>0+M81-M80</f>
        <v>0</v>
      </c>
      <c r="N82" s="37">
        <f>168.05+N81-N80</f>
        <v>-1.2000000000114142E-3</v>
      </c>
      <c r="O82" s="37">
        <f>1104.61+O81-O80</f>
        <v>-7.9100000002654269E-3</v>
      </c>
      <c r="P82" s="37">
        <f>493.77+P81-P80</f>
        <v>-3.2200000000557338E-3</v>
      </c>
      <c r="Q82" s="112">
        <f>1127425.77+Q81-Q80</f>
        <v>-5.6200004182755947E-3</v>
      </c>
      <c r="R82" s="112">
        <f>1109844.12+R81-R80</f>
        <v>-2.9200001154094934E-3</v>
      </c>
    </row>
    <row r="83" spans="2:18" x14ac:dyDescent="0.25">
      <c r="B83" s="2"/>
      <c r="C83" s="2"/>
      <c r="Q83" s="113"/>
      <c r="R83" s="112"/>
    </row>
    <row r="84" spans="2:18" x14ac:dyDescent="0.25">
      <c r="B84" s="2"/>
      <c r="C84" s="2"/>
    </row>
    <row r="85" spans="2:18" x14ac:dyDescent="0.25">
      <c r="B85" s="2"/>
      <c r="C85" s="2"/>
    </row>
    <row r="86" spans="2:18" x14ac:dyDescent="0.25">
      <c r="B86" s="2"/>
      <c r="C86" s="2"/>
    </row>
    <row r="87" spans="2:18" x14ac:dyDescent="0.25">
      <c r="B87" s="2"/>
      <c r="C87" s="2"/>
    </row>
    <row r="88" spans="2:18" x14ac:dyDescent="0.25">
      <c r="B88" s="2"/>
      <c r="C88" s="2"/>
    </row>
    <row r="89" spans="2:18" x14ac:dyDescent="0.25">
      <c r="B89" s="2"/>
      <c r="C89" s="2"/>
    </row>
    <row r="90" spans="2:18" x14ac:dyDescent="0.25">
      <c r="B90" s="2"/>
      <c r="C90" s="2"/>
    </row>
    <row r="91" spans="2:18" x14ac:dyDescent="0.25">
      <c r="B91" s="2"/>
      <c r="C91" s="2"/>
    </row>
    <row r="92" spans="2:18" x14ac:dyDescent="0.25">
      <c r="B92" s="2"/>
      <c r="C92" s="2"/>
    </row>
    <row r="93" spans="2:18" x14ac:dyDescent="0.25">
      <c r="B93" s="2"/>
      <c r="C93" s="2"/>
    </row>
    <row r="94" spans="2:18" x14ac:dyDescent="0.25">
      <c r="B94" s="2"/>
      <c r="C94" s="2"/>
    </row>
    <row r="95" spans="2:18" x14ac:dyDescent="0.25">
      <c r="B95" s="2"/>
      <c r="C95" s="2"/>
    </row>
    <row r="96" spans="2:18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  <row r="240" spans="2:3" x14ac:dyDescent="0.25">
      <c r="B240" s="2"/>
      <c r="C240" s="2"/>
    </row>
    <row r="241" spans="2:3" x14ac:dyDescent="0.25">
      <c r="B241" s="2"/>
      <c r="C241" s="2"/>
    </row>
    <row r="242" spans="2:3" x14ac:dyDescent="0.25">
      <c r="B242" s="2"/>
      <c r="C242" s="2"/>
    </row>
    <row r="243" spans="2:3" x14ac:dyDescent="0.25">
      <c r="B243" s="2"/>
      <c r="C243" s="2"/>
    </row>
    <row r="244" spans="2:3" x14ac:dyDescent="0.25">
      <c r="B244" s="2"/>
      <c r="C244" s="2"/>
    </row>
    <row r="245" spans="2:3" x14ac:dyDescent="0.25">
      <c r="B245" s="2"/>
      <c r="C245" s="2"/>
    </row>
    <row r="246" spans="2:3" x14ac:dyDescent="0.25">
      <c r="B246" s="2"/>
      <c r="C246" s="2"/>
    </row>
    <row r="247" spans="2:3" x14ac:dyDescent="0.25">
      <c r="B247" s="2"/>
      <c r="C247" s="2"/>
    </row>
    <row r="248" spans="2:3" x14ac:dyDescent="0.25">
      <c r="B248" s="2"/>
      <c r="C248" s="2"/>
    </row>
    <row r="249" spans="2:3" x14ac:dyDescent="0.25">
      <c r="B249" s="2"/>
      <c r="C249" s="2"/>
    </row>
    <row r="250" spans="2:3" x14ac:dyDescent="0.25">
      <c r="B250" s="2"/>
      <c r="C250" s="2"/>
    </row>
    <row r="251" spans="2:3" x14ac:dyDescent="0.25">
      <c r="B251" s="2"/>
      <c r="C251" s="2"/>
    </row>
    <row r="252" spans="2:3" x14ac:dyDescent="0.25">
      <c r="B252" s="2"/>
      <c r="C252" s="2"/>
    </row>
    <row r="253" spans="2:3" x14ac:dyDescent="0.25">
      <c r="B253" s="2"/>
      <c r="C253" s="2"/>
    </row>
    <row r="254" spans="2:3" x14ac:dyDescent="0.25">
      <c r="B254" s="2"/>
      <c r="C254" s="2"/>
    </row>
    <row r="255" spans="2:3" x14ac:dyDescent="0.25">
      <c r="B255" s="2"/>
      <c r="C255" s="2"/>
    </row>
    <row r="256" spans="2:3" x14ac:dyDescent="0.25">
      <c r="B256" s="2"/>
      <c r="C256" s="2"/>
    </row>
    <row r="257" spans="2:3" x14ac:dyDescent="0.25">
      <c r="B257" s="2"/>
      <c r="C257" s="2"/>
    </row>
    <row r="258" spans="2:3" x14ac:dyDescent="0.25">
      <c r="B258" s="2"/>
      <c r="C258" s="2"/>
    </row>
    <row r="259" spans="2:3" x14ac:dyDescent="0.25">
      <c r="B259" s="2"/>
      <c r="C259" s="2"/>
    </row>
    <row r="260" spans="2:3" x14ac:dyDescent="0.25">
      <c r="B260" s="2"/>
      <c r="C260" s="2"/>
    </row>
    <row r="261" spans="2:3" x14ac:dyDescent="0.25">
      <c r="B261" s="2"/>
      <c r="C261" s="2"/>
    </row>
    <row r="262" spans="2:3" x14ac:dyDescent="0.25">
      <c r="B262" s="2"/>
      <c r="C262" s="2"/>
    </row>
    <row r="263" spans="2:3" x14ac:dyDescent="0.25">
      <c r="B263" s="2"/>
      <c r="C263" s="2"/>
    </row>
    <row r="264" spans="2:3" x14ac:dyDescent="0.25">
      <c r="B264" s="2"/>
      <c r="C264" s="2"/>
    </row>
    <row r="265" spans="2:3" x14ac:dyDescent="0.25">
      <c r="B265" s="2"/>
      <c r="C265" s="2"/>
    </row>
    <row r="266" spans="2:3" x14ac:dyDescent="0.25">
      <c r="B266" s="2"/>
      <c r="C266" s="2"/>
    </row>
    <row r="267" spans="2:3" x14ac:dyDescent="0.25">
      <c r="B267" s="2"/>
      <c r="C267" s="2"/>
    </row>
    <row r="268" spans="2:3" x14ac:dyDescent="0.25">
      <c r="B268" s="2"/>
      <c r="C268" s="2"/>
    </row>
    <row r="269" spans="2:3" x14ac:dyDescent="0.25">
      <c r="B269" s="2"/>
      <c r="C269" s="2"/>
    </row>
    <row r="270" spans="2:3" x14ac:dyDescent="0.25">
      <c r="B270" s="2"/>
      <c r="C270" s="2"/>
    </row>
    <row r="271" spans="2:3" x14ac:dyDescent="0.25">
      <c r="B271" s="2"/>
      <c r="C271" s="2"/>
    </row>
    <row r="272" spans="2:3" x14ac:dyDescent="0.25">
      <c r="B272" s="2"/>
      <c r="C272" s="2"/>
    </row>
    <row r="273" spans="2:3" x14ac:dyDescent="0.25">
      <c r="B273" s="2"/>
      <c r="C273" s="2"/>
    </row>
    <row r="274" spans="2:3" x14ac:dyDescent="0.25">
      <c r="B274" s="2"/>
      <c r="C274" s="2"/>
    </row>
    <row r="275" spans="2:3" x14ac:dyDescent="0.25">
      <c r="B275" s="2"/>
      <c r="C275" s="2"/>
    </row>
    <row r="276" spans="2:3" x14ac:dyDescent="0.25">
      <c r="B276" s="2"/>
      <c r="C276" s="2"/>
    </row>
    <row r="277" spans="2:3" x14ac:dyDescent="0.25">
      <c r="B277" s="2"/>
      <c r="C277" s="2"/>
    </row>
    <row r="278" spans="2:3" x14ac:dyDescent="0.25">
      <c r="B278" s="2"/>
      <c r="C278" s="2"/>
    </row>
    <row r="279" spans="2:3" x14ac:dyDescent="0.25">
      <c r="B279" s="2"/>
      <c r="C279" s="2"/>
    </row>
    <row r="280" spans="2:3" x14ac:dyDescent="0.25">
      <c r="B280" s="2"/>
      <c r="C280" s="2"/>
    </row>
    <row r="281" spans="2:3" x14ac:dyDescent="0.25">
      <c r="B281" s="2"/>
      <c r="C281" s="2"/>
    </row>
    <row r="282" spans="2:3" x14ac:dyDescent="0.25">
      <c r="B282" s="2"/>
      <c r="C282" s="2"/>
    </row>
    <row r="283" spans="2:3" x14ac:dyDescent="0.25">
      <c r="B283" s="2"/>
      <c r="C283" s="2"/>
    </row>
    <row r="284" spans="2:3" x14ac:dyDescent="0.25">
      <c r="B284" s="2"/>
      <c r="C284" s="2"/>
    </row>
    <row r="285" spans="2:3" x14ac:dyDescent="0.25">
      <c r="B285" s="2"/>
      <c r="C285" s="2"/>
    </row>
    <row r="286" spans="2:3" x14ac:dyDescent="0.25">
      <c r="B286" s="2"/>
      <c r="C286" s="2"/>
    </row>
    <row r="287" spans="2:3" x14ac:dyDescent="0.25">
      <c r="B287" s="2"/>
      <c r="C287" s="2"/>
    </row>
    <row r="288" spans="2:3" x14ac:dyDescent="0.25">
      <c r="B288" s="2"/>
      <c r="C288" s="2"/>
    </row>
    <row r="289" spans="2:3" x14ac:dyDescent="0.25">
      <c r="B289" s="2"/>
      <c r="C289" s="2"/>
    </row>
    <row r="290" spans="2:3" x14ac:dyDescent="0.25">
      <c r="B290" s="2"/>
      <c r="C290" s="2"/>
    </row>
    <row r="291" spans="2:3" x14ac:dyDescent="0.25">
      <c r="B291" s="2"/>
      <c r="C291" s="2"/>
    </row>
    <row r="292" spans="2:3" x14ac:dyDescent="0.25">
      <c r="B292" s="2"/>
      <c r="C292" s="2"/>
    </row>
    <row r="293" spans="2:3" x14ac:dyDescent="0.25">
      <c r="B293" s="2"/>
      <c r="C293" s="2"/>
    </row>
    <row r="294" spans="2:3" x14ac:dyDescent="0.25">
      <c r="B294" s="2"/>
      <c r="C294" s="2"/>
    </row>
    <row r="295" spans="2:3" x14ac:dyDescent="0.25">
      <c r="B295" s="2"/>
      <c r="C295" s="2"/>
    </row>
    <row r="296" spans="2:3" x14ac:dyDescent="0.25">
      <c r="B296" s="2"/>
      <c r="C296" s="2"/>
    </row>
    <row r="297" spans="2:3" x14ac:dyDescent="0.25">
      <c r="B297" s="2"/>
      <c r="C297" s="2"/>
    </row>
    <row r="298" spans="2:3" x14ac:dyDescent="0.25">
      <c r="B298" s="2"/>
      <c r="C298" s="2"/>
    </row>
    <row r="299" spans="2:3" x14ac:dyDescent="0.25">
      <c r="B299" s="2"/>
      <c r="C299" s="2"/>
    </row>
    <row r="300" spans="2:3" x14ac:dyDescent="0.25">
      <c r="B300" s="2"/>
      <c r="C300" s="2"/>
    </row>
    <row r="301" spans="2:3" x14ac:dyDescent="0.25">
      <c r="B301" s="2"/>
      <c r="C301" s="2"/>
    </row>
    <row r="302" spans="2:3" x14ac:dyDescent="0.25">
      <c r="B302" s="2"/>
      <c r="C302" s="2"/>
    </row>
    <row r="303" spans="2:3" x14ac:dyDescent="0.25">
      <c r="B303" s="2"/>
      <c r="C303" s="2"/>
    </row>
    <row r="304" spans="2:3" x14ac:dyDescent="0.25">
      <c r="B304" s="2"/>
      <c r="C304" s="2"/>
    </row>
    <row r="305" spans="2:3" x14ac:dyDescent="0.25">
      <c r="B305" s="2"/>
      <c r="C305" s="2"/>
    </row>
    <row r="306" spans="2:3" x14ac:dyDescent="0.25">
      <c r="B306" s="2"/>
      <c r="C306" s="2"/>
    </row>
    <row r="307" spans="2:3" x14ac:dyDescent="0.25">
      <c r="B307" s="2"/>
      <c r="C307" s="2"/>
    </row>
    <row r="308" spans="2:3" x14ac:dyDescent="0.25">
      <c r="B308" s="2"/>
      <c r="C308" s="2"/>
    </row>
    <row r="309" spans="2:3" x14ac:dyDescent="0.25">
      <c r="B309" s="2"/>
      <c r="C309" s="2"/>
    </row>
    <row r="310" spans="2:3" x14ac:dyDescent="0.25">
      <c r="B310" s="2"/>
      <c r="C310" s="2"/>
    </row>
    <row r="311" spans="2:3" x14ac:dyDescent="0.25">
      <c r="B311" s="2"/>
      <c r="C311" s="2"/>
    </row>
    <row r="312" spans="2:3" x14ac:dyDescent="0.25">
      <c r="B312" s="2"/>
      <c r="C312" s="2"/>
    </row>
    <row r="313" spans="2:3" x14ac:dyDescent="0.25">
      <c r="B313" s="2"/>
      <c r="C313" s="2"/>
    </row>
    <row r="314" spans="2:3" x14ac:dyDescent="0.25">
      <c r="B314" s="2"/>
      <c r="C314" s="2"/>
    </row>
    <row r="315" spans="2:3" x14ac:dyDescent="0.25">
      <c r="B315" s="2"/>
      <c r="C315" s="2"/>
    </row>
    <row r="316" spans="2:3" x14ac:dyDescent="0.25">
      <c r="B316" s="2"/>
      <c r="C316" s="2"/>
    </row>
    <row r="317" spans="2:3" x14ac:dyDescent="0.25">
      <c r="B317" s="2"/>
      <c r="C317" s="2"/>
    </row>
    <row r="318" spans="2:3" x14ac:dyDescent="0.25">
      <c r="B318" s="2"/>
      <c r="C318" s="2"/>
    </row>
    <row r="319" spans="2:3" x14ac:dyDescent="0.25">
      <c r="B319" s="2"/>
      <c r="C319" s="2"/>
    </row>
    <row r="320" spans="2:3" x14ac:dyDescent="0.25">
      <c r="B320" s="2"/>
      <c r="C320" s="2"/>
    </row>
    <row r="321" spans="2:3" x14ac:dyDescent="0.25">
      <c r="B321" s="2"/>
      <c r="C321" s="2"/>
    </row>
    <row r="322" spans="2:3" x14ac:dyDescent="0.25">
      <c r="B322" s="2"/>
      <c r="C322" s="2"/>
    </row>
    <row r="323" spans="2:3" x14ac:dyDescent="0.25">
      <c r="B323" s="2"/>
      <c r="C323" s="2"/>
    </row>
    <row r="324" spans="2:3" x14ac:dyDescent="0.25">
      <c r="B324" s="2"/>
      <c r="C324" s="2"/>
    </row>
    <row r="325" spans="2:3" x14ac:dyDescent="0.25">
      <c r="B325" s="2"/>
      <c r="C325" s="2"/>
    </row>
    <row r="326" spans="2:3" x14ac:dyDescent="0.25">
      <c r="B326" s="2"/>
      <c r="C326" s="2"/>
    </row>
    <row r="327" spans="2:3" x14ac:dyDescent="0.25">
      <c r="B327" s="2"/>
      <c r="C327" s="2"/>
    </row>
    <row r="328" spans="2:3" x14ac:dyDescent="0.25">
      <c r="B328" s="2"/>
      <c r="C328" s="2"/>
    </row>
    <row r="329" spans="2:3" x14ac:dyDescent="0.25">
      <c r="B329" s="2"/>
      <c r="C329" s="2"/>
    </row>
    <row r="330" spans="2:3" x14ac:dyDescent="0.25">
      <c r="B330" s="2"/>
      <c r="C330" s="2"/>
    </row>
    <row r="331" spans="2:3" x14ac:dyDescent="0.25">
      <c r="B331" s="2"/>
      <c r="C331" s="2"/>
    </row>
    <row r="332" spans="2:3" x14ac:dyDescent="0.25">
      <c r="B332" s="2"/>
      <c r="C332" s="2"/>
    </row>
    <row r="333" spans="2:3" x14ac:dyDescent="0.25">
      <c r="B333" s="2"/>
      <c r="C333" s="2"/>
    </row>
    <row r="334" spans="2:3" x14ac:dyDescent="0.25">
      <c r="B334" s="2"/>
      <c r="C334" s="2"/>
    </row>
    <row r="335" spans="2:3" x14ac:dyDescent="0.25">
      <c r="B335" s="2"/>
      <c r="C335" s="2"/>
    </row>
    <row r="336" spans="2:3" x14ac:dyDescent="0.25">
      <c r="B336" s="2"/>
      <c r="C336" s="2"/>
    </row>
    <row r="337" spans="2:3" x14ac:dyDescent="0.25">
      <c r="B337" s="2"/>
      <c r="C337" s="2"/>
    </row>
    <row r="338" spans="2:3" x14ac:dyDescent="0.25">
      <c r="B338" s="2"/>
      <c r="C338" s="2"/>
    </row>
    <row r="339" spans="2:3" x14ac:dyDescent="0.25">
      <c r="B339" s="2"/>
      <c r="C339" s="2"/>
    </row>
    <row r="340" spans="2:3" x14ac:dyDescent="0.25">
      <c r="B340" s="2"/>
      <c r="C340" s="2"/>
    </row>
    <row r="341" spans="2:3" x14ac:dyDescent="0.25">
      <c r="B341" s="2"/>
      <c r="C341" s="2"/>
    </row>
    <row r="342" spans="2:3" x14ac:dyDescent="0.25">
      <c r="B342" s="2"/>
      <c r="C342" s="2"/>
    </row>
    <row r="343" spans="2:3" x14ac:dyDescent="0.25">
      <c r="B343" s="2"/>
      <c r="C343" s="2"/>
    </row>
    <row r="344" spans="2:3" x14ac:dyDescent="0.25">
      <c r="B344" s="2"/>
      <c r="C344" s="2"/>
    </row>
    <row r="345" spans="2:3" x14ac:dyDescent="0.25">
      <c r="B345" s="2"/>
      <c r="C345" s="2"/>
    </row>
    <row r="346" spans="2:3" x14ac:dyDescent="0.25">
      <c r="B346" s="2"/>
      <c r="C346" s="2"/>
    </row>
    <row r="347" spans="2:3" x14ac:dyDescent="0.25">
      <c r="B347" s="2"/>
      <c r="C347" s="2"/>
    </row>
    <row r="348" spans="2:3" x14ac:dyDescent="0.25">
      <c r="B348" s="2"/>
      <c r="C348" s="2"/>
    </row>
    <row r="349" spans="2:3" x14ac:dyDescent="0.25">
      <c r="B349" s="2"/>
      <c r="C349" s="2"/>
    </row>
    <row r="350" spans="2:3" x14ac:dyDescent="0.25">
      <c r="B350" s="2"/>
      <c r="C350" s="2"/>
    </row>
    <row r="351" spans="2:3" x14ac:dyDescent="0.25">
      <c r="B351" s="2"/>
      <c r="C351" s="2"/>
    </row>
    <row r="352" spans="2:3" x14ac:dyDescent="0.25">
      <c r="B352" s="2"/>
      <c r="C352" s="2"/>
    </row>
    <row r="353" spans="2:3" x14ac:dyDescent="0.25">
      <c r="B353" s="2"/>
      <c r="C353" s="2"/>
    </row>
    <row r="354" spans="2:3" x14ac:dyDescent="0.25">
      <c r="B354" s="2"/>
      <c r="C354" s="2"/>
    </row>
    <row r="355" spans="2:3" x14ac:dyDescent="0.25">
      <c r="B355" s="2"/>
      <c r="C355" s="2"/>
    </row>
    <row r="356" spans="2:3" x14ac:dyDescent="0.25">
      <c r="B356" s="2"/>
      <c r="C356" s="2"/>
    </row>
    <row r="357" spans="2:3" x14ac:dyDescent="0.25">
      <c r="B357" s="2"/>
      <c r="C357" s="2"/>
    </row>
    <row r="358" spans="2:3" x14ac:dyDescent="0.25">
      <c r="B358" s="2"/>
      <c r="C358" s="2"/>
    </row>
    <row r="359" spans="2:3" x14ac:dyDescent="0.25">
      <c r="B359" s="2"/>
      <c r="C359" s="2"/>
    </row>
    <row r="360" spans="2:3" x14ac:dyDescent="0.25">
      <c r="B360" s="2"/>
      <c r="C360" s="2"/>
    </row>
    <row r="361" spans="2:3" x14ac:dyDescent="0.25">
      <c r="B361" s="2"/>
      <c r="C361" s="2"/>
    </row>
    <row r="362" spans="2:3" x14ac:dyDescent="0.25">
      <c r="B362" s="2"/>
      <c r="C362" s="2"/>
    </row>
    <row r="363" spans="2:3" x14ac:dyDescent="0.25">
      <c r="B363" s="2"/>
      <c r="C363" s="2"/>
    </row>
    <row r="364" spans="2:3" x14ac:dyDescent="0.25">
      <c r="B364" s="2"/>
      <c r="C364" s="2"/>
    </row>
    <row r="365" spans="2:3" x14ac:dyDescent="0.25">
      <c r="B365" s="2"/>
      <c r="C365" s="2"/>
    </row>
    <row r="366" spans="2:3" x14ac:dyDescent="0.25">
      <c r="B366" s="2"/>
      <c r="C366" s="2"/>
    </row>
    <row r="367" spans="2:3" x14ac:dyDescent="0.25">
      <c r="B367" s="2"/>
      <c r="C367" s="2"/>
    </row>
    <row r="368" spans="2:3" x14ac:dyDescent="0.25">
      <c r="B368" s="2"/>
      <c r="C368" s="2"/>
    </row>
    <row r="369" spans="2:3" x14ac:dyDescent="0.25">
      <c r="B369" s="2"/>
      <c r="C369" s="2"/>
    </row>
    <row r="370" spans="2:3" x14ac:dyDescent="0.25">
      <c r="B370" s="2"/>
      <c r="C370" s="2"/>
    </row>
    <row r="371" spans="2:3" x14ac:dyDescent="0.25">
      <c r="B371" s="2"/>
      <c r="C371" s="2"/>
    </row>
    <row r="372" spans="2:3" x14ac:dyDescent="0.25">
      <c r="B372" s="2"/>
      <c r="C372" s="2"/>
    </row>
    <row r="373" spans="2:3" x14ac:dyDescent="0.25">
      <c r="B373" s="2"/>
      <c r="C373" s="2"/>
    </row>
    <row r="374" spans="2:3" x14ac:dyDescent="0.25">
      <c r="B374" s="2"/>
      <c r="C374" s="2"/>
    </row>
    <row r="375" spans="2:3" x14ac:dyDescent="0.25">
      <c r="B375" s="2"/>
      <c r="C375" s="2"/>
    </row>
    <row r="376" spans="2:3" x14ac:dyDescent="0.25">
      <c r="B376" s="2"/>
      <c r="C376" s="2"/>
    </row>
    <row r="377" spans="2:3" x14ac:dyDescent="0.25">
      <c r="B377" s="2"/>
      <c r="C377" s="2"/>
    </row>
    <row r="378" spans="2:3" x14ac:dyDescent="0.25">
      <c r="B378" s="2"/>
      <c r="C378" s="2"/>
    </row>
    <row r="379" spans="2:3" x14ac:dyDescent="0.25">
      <c r="B379" s="2"/>
      <c r="C379" s="2"/>
    </row>
    <row r="380" spans="2:3" x14ac:dyDescent="0.25">
      <c r="B380" s="2"/>
      <c r="C380" s="2"/>
    </row>
    <row r="381" spans="2:3" x14ac:dyDescent="0.25">
      <c r="B381" s="2"/>
      <c r="C381" s="2"/>
    </row>
    <row r="382" spans="2:3" x14ac:dyDescent="0.25">
      <c r="B382" s="2"/>
      <c r="C382" s="2"/>
    </row>
    <row r="383" spans="2:3" x14ac:dyDescent="0.25">
      <c r="B383" s="2"/>
      <c r="C383" s="2"/>
    </row>
    <row r="384" spans="2:3" x14ac:dyDescent="0.25">
      <c r="B384" s="2"/>
      <c r="C384" s="2"/>
    </row>
    <row r="385" spans="2:3" x14ac:dyDescent="0.25">
      <c r="B385" s="2"/>
      <c r="C385" s="2"/>
    </row>
    <row r="386" spans="2:3" x14ac:dyDescent="0.25">
      <c r="B386" s="2"/>
      <c r="C386" s="2"/>
    </row>
    <row r="387" spans="2:3" x14ac:dyDescent="0.25">
      <c r="B387" s="2"/>
      <c r="C387" s="2"/>
    </row>
    <row r="388" spans="2:3" x14ac:dyDescent="0.25">
      <c r="B388" s="2"/>
      <c r="C388" s="2"/>
    </row>
    <row r="389" spans="2:3" x14ac:dyDescent="0.25">
      <c r="B389" s="2"/>
      <c r="C389" s="2"/>
    </row>
    <row r="390" spans="2:3" x14ac:dyDescent="0.25">
      <c r="B390" s="2"/>
      <c r="C390" s="2"/>
    </row>
    <row r="391" spans="2:3" x14ac:dyDescent="0.25">
      <c r="B391" s="2"/>
      <c r="C391" s="2"/>
    </row>
    <row r="392" spans="2:3" x14ac:dyDescent="0.25">
      <c r="B392" s="2"/>
      <c r="C392" s="2"/>
    </row>
    <row r="393" spans="2:3" x14ac:dyDescent="0.25">
      <c r="B393" s="2"/>
      <c r="C393" s="2"/>
    </row>
    <row r="394" spans="2:3" x14ac:dyDescent="0.25">
      <c r="B394" s="2"/>
      <c r="C394" s="2"/>
    </row>
    <row r="395" spans="2:3" x14ac:dyDescent="0.25">
      <c r="B395" s="2"/>
      <c r="C395" s="2"/>
    </row>
    <row r="396" spans="2:3" x14ac:dyDescent="0.25">
      <c r="B396" s="2"/>
      <c r="C396" s="2"/>
    </row>
    <row r="397" spans="2:3" x14ac:dyDescent="0.25">
      <c r="B397" s="2"/>
      <c r="C397" s="2"/>
    </row>
    <row r="398" spans="2:3" x14ac:dyDescent="0.25">
      <c r="B398" s="2"/>
      <c r="C398" s="2"/>
    </row>
    <row r="399" spans="2:3" x14ac:dyDescent="0.25">
      <c r="B399" s="2"/>
      <c r="C399" s="2"/>
    </row>
    <row r="400" spans="2:3" x14ac:dyDescent="0.25">
      <c r="B400" s="2"/>
      <c r="C400" s="2"/>
    </row>
    <row r="401" spans="2:3" x14ac:dyDescent="0.25">
      <c r="B401" s="2"/>
      <c r="C401" s="2"/>
    </row>
    <row r="402" spans="2:3" x14ac:dyDescent="0.25">
      <c r="B402" s="2"/>
      <c r="C402" s="2"/>
    </row>
    <row r="403" spans="2:3" x14ac:dyDescent="0.25">
      <c r="B403" s="2"/>
      <c r="C403" s="2"/>
    </row>
    <row r="404" spans="2:3" x14ac:dyDescent="0.25">
      <c r="B404" s="2"/>
      <c r="C404" s="2"/>
    </row>
    <row r="405" spans="2:3" x14ac:dyDescent="0.25">
      <c r="B405" s="2"/>
      <c r="C405" s="2"/>
    </row>
    <row r="406" spans="2:3" x14ac:dyDescent="0.25">
      <c r="B406" s="2"/>
      <c r="C406" s="2"/>
    </row>
    <row r="407" spans="2:3" x14ac:dyDescent="0.25">
      <c r="B407" s="2"/>
      <c r="C407" s="2"/>
    </row>
    <row r="408" spans="2:3" x14ac:dyDescent="0.25">
      <c r="B408" s="2"/>
      <c r="C408" s="2"/>
    </row>
    <row r="409" spans="2:3" x14ac:dyDescent="0.25">
      <c r="B409" s="2"/>
      <c r="C409" s="2"/>
    </row>
    <row r="410" spans="2:3" x14ac:dyDescent="0.25">
      <c r="B410" s="2"/>
      <c r="C410" s="2"/>
    </row>
    <row r="411" spans="2:3" x14ac:dyDescent="0.25">
      <c r="B411" s="2"/>
      <c r="C411" s="2"/>
    </row>
    <row r="412" spans="2:3" x14ac:dyDescent="0.25">
      <c r="B412" s="2"/>
      <c r="C412" s="2"/>
    </row>
    <row r="413" spans="2:3" x14ac:dyDescent="0.25">
      <c r="B413" s="2"/>
      <c r="C413" s="2"/>
    </row>
    <row r="414" spans="2:3" x14ac:dyDescent="0.25">
      <c r="B414" s="2"/>
      <c r="C414" s="2"/>
    </row>
    <row r="415" spans="2:3" x14ac:dyDescent="0.25">
      <c r="B415" s="2"/>
      <c r="C415" s="2"/>
    </row>
    <row r="416" spans="2:3" x14ac:dyDescent="0.25">
      <c r="B416" s="2"/>
      <c r="C416" s="2"/>
    </row>
    <row r="417" spans="2:3" x14ac:dyDescent="0.25">
      <c r="B417" s="2"/>
      <c r="C417" s="2"/>
    </row>
    <row r="418" spans="2:3" x14ac:dyDescent="0.25">
      <c r="B418" s="2"/>
      <c r="C418" s="2"/>
    </row>
    <row r="419" spans="2:3" x14ac:dyDescent="0.25">
      <c r="B419" s="2"/>
      <c r="C419" s="2"/>
    </row>
    <row r="420" spans="2:3" x14ac:dyDescent="0.25">
      <c r="B420" s="2"/>
      <c r="C420" s="2"/>
    </row>
    <row r="421" spans="2:3" x14ac:dyDescent="0.25">
      <c r="B421" s="2"/>
      <c r="C421" s="2"/>
    </row>
    <row r="422" spans="2:3" x14ac:dyDescent="0.25">
      <c r="B422" s="2"/>
      <c r="C422" s="2"/>
    </row>
    <row r="423" spans="2:3" x14ac:dyDescent="0.25">
      <c r="B423" s="2"/>
      <c r="C423" s="2"/>
    </row>
    <row r="424" spans="2:3" x14ac:dyDescent="0.25">
      <c r="B424" s="2"/>
      <c r="C424" s="2"/>
    </row>
    <row r="425" spans="2:3" x14ac:dyDescent="0.25">
      <c r="B425" s="2"/>
      <c r="C425" s="2"/>
    </row>
    <row r="426" spans="2:3" x14ac:dyDescent="0.25">
      <c r="B426" s="2"/>
      <c r="C426" s="2"/>
    </row>
    <row r="427" spans="2:3" x14ac:dyDescent="0.25">
      <c r="B427" s="2"/>
      <c r="C427" s="2"/>
    </row>
    <row r="428" spans="2:3" x14ac:dyDescent="0.25">
      <c r="B428" s="2"/>
      <c r="C428" s="2"/>
    </row>
    <row r="429" spans="2:3" x14ac:dyDescent="0.25">
      <c r="B429" s="2"/>
      <c r="C429" s="2"/>
    </row>
    <row r="430" spans="2:3" x14ac:dyDescent="0.25">
      <c r="B430" s="2"/>
      <c r="C430" s="2"/>
    </row>
    <row r="431" spans="2:3" x14ac:dyDescent="0.25">
      <c r="B431" s="2"/>
      <c r="C431" s="2"/>
    </row>
    <row r="432" spans="2:3" x14ac:dyDescent="0.25">
      <c r="B432" s="2"/>
      <c r="C432" s="2"/>
    </row>
    <row r="433" spans="2:3" x14ac:dyDescent="0.25">
      <c r="B433" s="2"/>
      <c r="C433" s="2"/>
    </row>
    <row r="434" spans="2:3" x14ac:dyDescent="0.25">
      <c r="B434" s="2"/>
      <c r="C434" s="2"/>
    </row>
    <row r="435" spans="2:3" x14ac:dyDescent="0.25">
      <c r="B435" s="2"/>
      <c r="C435" s="2"/>
    </row>
    <row r="436" spans="2:3" x14ac:dyDescent="0.25">
      <c r="B436" s="2"/>
      <c r="C436" s="2"/>
    </row>
    <row r="437" spans="2:3" x14ac:dyDescent="0.25">
      <c r="B437" s="2"/>
      <c r="C437" s="2"/>
    </row>
    <row r="438" spans="2:3" x14ac:dyDescent="0.25">
      <c r="B438" s="2"/>
      <c r="C438" s="2"/>
    </row>
    <row r="439" spans="2:3" x14ac:dyDescent="0.25">
      <c r="B439" s="2"/>
      <c r="C439" s="2"/>
    </row>
    <row r="440" spans="2:3" x14ac:dyDescent="0.25">
      <c r="B440" s="2"/>
      <c r="C440" s="2"/>
    </row>
    <row r="441" spans="2:3" x14ac:dyDescent="0.25">
      <c r="B441" s="2"/>
      <c r="C441" s="2"/>
    </row>
    <row r="442" spans="2:3" x14ac:dyDescent="0.25">
      <c r="B442" s="2"/>
      <c r="C442" s="2"/>
    </row>
    <row r="443" spans="2:3" x14ac:dyDescent="0.25">
      <c r="B443" s="2"/>
      <c r="C443" s="2"/>
    </row>
    <row r="444" spans="2:3" x14ac:dyDescent="0.25">
      <c r="B444" s="2"/>
      <c r="C444" s="2"/>
    </row>
    <row r="445" spans="2:3" x14ac:dyDescent="0.25">
      <c r="B445" s="2"/>
      <c r="C445" s="2"/>
    </row>
    <row r="446" spans="2:3" x14ac:dyDescent="0.25">
      <c r="B446" s="2"/>
      <c r="C446" s="2"/>
    </row>
    <row r="447" spans="2:3" x14ac:dyDescent="0.25">
      <c r="B447" s="2"/>
      <c r="C447" s="2"/>
    </row>
    <row r="448" spans="2:3" x14ac:dyDescent="0.25">
      <c r="B448" s="2"/>
      <c r="C448" s="2"/>
    </row>
    <row r="449" spans="2:3" x14ac:dyDescent="0.25">
      <c r="B449" s="2"/>
      <c r="C449" s="2"/>
    </row>
    <row r="450" spans="2:3" x14ac:dyDescent="0.25">
      <c r="B450" s="2"/>
      <c r="C450" s="2"/>
    </row>
    <row r="451" spans="2:3" x14ac:dyDescent="0.25">
      <c r="B451" s="2"/>
      <c r="C451" s="2"/>
    </row>
    <row r="452" spans="2:3" x14ac:dyDescent="0.25">
      <c r="B452" s="2"/>
      <c r="C452" s="2"/>
    </row>
    <row r="453" spans="2:3" x14ac:dyDescent="0.25">
      <c r="B453" s="2"/>
      <c r="C453" s="2"/>
    </row>
    <row r="454" spans="2:3" x14ac:dyDescent="0.25">
      <c r="B454" s="2"/>
      <c r="C454" s="2"/>
    </row>
    <row r="455" spans="2:3" x14ac:dyDescent="0.25">
      <c r="B455" s="2"/>
      <c r="C455" s="2"/>
    </row>
    <row r="456" spans="2:3" x14ac:dyDescent="0.25">
      <c r="B456" s="2"/>
      <c r="C456" s="2"/>
    </row>
    <row r="457" spans="2:3" x14ac:dyDescent="0.25">
      <c r="B457" s="2"/>
      <c r="C457" s="2"/>
    </row>
    <row r="458" spans="2:3" x14ac:dyDescent="0.25">
      <c r="B458" s="2"/>
      <c r="C458" s="2"/>
    </row>
    <row r="459" spans="2:3" x14ac:dyDescent="0.25">
      <c r="B459" s="2"/>
      <c r="C459" s="2"/>
    </row>
    <row r="460" spans="2:3" x14ac:dyDescent="0.25">
      <c r="B460" s="2"/>
      <c r="C460" s="2"/>
    </row>
    <row r="461" spans="2:3" x14ac:dyDescent="0.25">
      <c r="B461" s="2"/>
      <c r="C461" s="2"/>
    </row>
    <row r="462" spans="2:3" x14ac:dyDescent="0.25">
      <c r="B462" s="2"/>
      <c r="C462" s="2"/>
    </row>
    <row r="463" spans="2:3" x14ac:dyDescent="0.25">
      <c r="B463" s="2"/>
      <c r="C463" s="2"/>
    </row>
    <row r="464" spans="2:3" x14ac:dyDescent="0.25">
      <c r="B464" s="2"/>
      <c r="C464" s="2"/>
    </row>
    <row r="465" spans="2:3" x14ac:dyDescent="0.25">
      <c r="B465" s="2"/>
      <c r="C465" s="2"/>
    </row>
    <row r="466" spans="2:3" x14ac:dyDescent="0.25">
      <c r="B466" s="2"/>
      <c r="C466" s="2"/>
    </row>
    <row r="467" spans="2:3" x14ac:dyDescent="0.25">
      <c r="B467" s="2"/>
      <c r="C467" s="2"/>
    </row>
    <row r="468" spans="2:3" x14ac:dyDescent="0.25">
      <c r="B468" s="2"/>
      <c r="C468" s="2"/>
    </row>
    <row r="469" spans="2:3" x14ac:dyDescent="0.25">
      <c r="B469" s="2"/>
      <c r="C469" s="2"/>
    </row>
    <row r="470" spans="2:3" x14ac:dyDescent="0.25">
      <c r="B470" s="2"/>
      <c r="C470" s="2"/>
    </row>
    <row r="471" spans="2:3" x14ac:dyDescent="0.25">
      <c r="B471" s="2"/>
      <c r="C471" s="2"/>
    </row>
    <row r="472" spans="2:3" x14ac:dyDescent="0.25">
      <c r="B472" s="2"/>
      <c r="C472" s="2"/>
    </row>
    <row r="473" spans="2:3" x14ac:dyDescent="0.25">
      <c r="B473" s="2"/>
      <c r="C473" s="2"/>
    </row>
    <row r="474" spans="2:3" x14ac:dyDescent="0.25">
      <c r="B474" s="2"/>
      <c r="C474" s="2"/>
    </row>
    <row r="475" spans="2:3" x14ac:dyDescent="0.25">
      <c r="B475" s="2"/>
      <c r="C475" s="2"/>
    </row>
    <row r="476" spans="2:3" x14ac:dyDescent="0.25">
      <c r="B476" s="2"/>
      <c r="C476" s="2"/>
    </row>
    <row r="477" spans="2:3" x14ac:dyDescent="0.25">
      <c r="B477" s="2"/>
      <c r="C477" s="2"/>
    </row>
    <row r="478" spans="2:3" x14ac:dyDescent="0.25">
      <c r="B478" s="2"/>
      <c r="C478" s="2"/>
    </row>
    <row r="479" spans="2:3" x14ac:dyDescent="0.25">
      <c r="B479" s="2"/>
      <c r="C479" s="2"/>
    </row>
    <row r="480" spans="2:3" x14ac:dyDescent="0.25">
      <c r="B480" s="2"/>
      <c r="C480" s="2"/>
    </row>
    <row r="481" spans="2:3" x14ac:dyDescent="0.25">
      <c r="B481" s="2"/>
      <c r="C481" s="2"/>
    </row>
    <row r="482" spans="2:3" x14ac:dyDescent="0.25">
      <c r="B482" s="2"/>
      <c r="C482" s="2"/>
    </row>
    <row r="483" spans="2:3" x14ac:dyDescent="0.25">
      <c r="B483" s="2"/>
      <c r="C483" s="2"/>
    </row>
    <row r="484" spans="2:3" x14ac:dyDescent="0.25">
      <c r="B484" s="2"/>
      <c r="C484" s="2"/>
    </row>
    <row r="485" spans="2:3" x14ac:dyDescent="0.25">
      <c r="B485" s="2"/>
      <c r="C485" s="2"/>
    </row>
    <row r="486" spans="2:3" x14ac:dyDescent="0.25">
      <c r="B486" s="2"/>
      <c r="C486" s="2"/>
    </row>
    <row r="487" spans="2:3" x14ac:dyDescent="0.25">
      <c r="B487" s="2"/>
      <c r="C487" s="2"/>
    </row>
    <row r="488" spans="2:3" x14ac:dyDescent="0.25">
      <c r="B488" s="2"/>
      <c r="C488" s="2"/>
    </row>
    <row r="489" spans="2:3" x14ac:dyDescent="0.25">
      <c r="B489" s="2"/>
      <c r="C489" s="2"/>
    </row>
    <row r="490" spans="2:3" x14ac:dyDescent="0.25">
      <c r="B490" s="2"/>
      <c r="C490" s="2"/>
    </row>
    <row r="491" spans="2:3" x14ac:dyDescent="0.25">
      <c r="B491" s="2"/>
      <c r="C491" s="2"/>
    </row>
    <row r="492" spans="2:3" x14ac:dyDescent="0.25">
      <c r="B492" s="2"/>
      <c r="C492" s="2"/>
    </row>
    <row r="493" spans="2:3" x14ac:dyDescent="0.25">
      <c r="B493" s="2"/>
      <c r="C493" s="2"/>
    </row>
    <row r="494" spans="2:3" x14ac:dyDescent="0.25">
      <c r="B494" s="2"/>
      <c r="C494" s="2"/>
    </row>
    <row r="495" spans="2:3" x14ac:dyDescent="0.25">
      <c r="B495" s="2"/>
      <c r="C495" s="2"/>
    </row>
    <row r="496" spans="2:3" x14ac:dyDescent="0.25">
      <c r="B496" s="2"/>
      <c r="C496" s="2"/>
    </row>
    <row r="497" spans="2:3" x14ac:dyDescent="0.25">
      <c r="B497" s="2"/>
      <c r="C497" s="2"/>
    </row>
    <row r="498" spans="2:3" x14ac:dyDescent="0.25">
      <c r="B498" s="2"/>
      <c r="C498" s="2"/>
    </row>
    <row r="499" spans="2:3" x14ac:dyDescent="0.25">
      <c r="B499" s="2"/>
      <c r="C499" s="2"/>
    </row>
    <row r="500" spans="2:3" x14ac:dyDescent="0.25">
      <c r="B500" s="2"/>
      <c r="C500" s="2"/>
    </row>
    <row r="501" spans="2:3" x14ac:dyDescent="0.25">
      <c r="B501" s="2"/>
      <c r="C501" s="2"/>
    </row>
    <row r="502" spans="2:3" x14ac:dyDescent="0.25">
      <c r="B502" s="2"/>
      <c r="C502" s="2"/>
    </row>
    <row r="503" spans="2:3" x14ac:dyDescent="0.25">
      <c r="B503" s="2"/>
      <c r="C503" s="2"/>
    </row>
    <row r="504" spans="2:3" x14ac:dyDescent="0.25">
      <c r="B504" s="2"/>
      <c r="C504" s="2"/>
    </row>
    <row r="505" spans="2:3" x14ac:dyDescent="0.25">
      <c r="B505" s="2"/>
      <c r="C505" s="2"/>
    </row>
    <row r="506" spans="2:3" x14ac:dyDescent="0.25">
      <c r="B506" s="2"/>
      <c r="C506" s="2"/>
    </row>
    <row r="507" spans="2:3" x14ac:dyDescent="0.25">
      <c r="B507" s="2"/>
      <c r="C507" s="2"/>
    </row>
    <row r="508" spans="2:3" x14ac:dyDescent="0.25">
      <c r="B508" s="2"/>
      <c r="C508" s="2"/>
    </row>
    <row r="509" spans="2:3" x14ac:dyDescent="0.25">
      <c r="B509" s="2"/>
      <c r="C509" s="2"/>
    </row>
    <row r="510" spans="2:3" x14ac:dyDescent="0.25">
      <c r="B510" s="2"/>
      <c r="C510" s="2"/>
    </row>
    <row r="511" spans="2:3" x14ac:dyDescent="0.25">
      <c r="B511" s="2"/>
      <c r="C511" s="2"/>
    </row>
    <row r="512" spans="2:3" x14ac:dyDescent="0.25">
      <c r="B512" s="2"/>
      <c r="C512" s="2"/>
    </row>
    <row r="513" spans="2:3" x14ac:dyDescent="0.25">
      <c r="B513" s="2"/>
      <c r="C513" s="2"/>
    </row>
    <row r="514" spans="2:3" x14ac:dyDescent="0.25">
      <c r="B514" s="2"/>
      <c r="C514" s="2"/>
    </row>
    <row r="515" spans="2:3" x14ac:dyDescent="0.25">
      <c r="B515" s="2"/>
      <c r="C515" s="2"/>
    </row>
    <row r="516" spans="2:3" x14ac:dyDescent="0.25">
      <c r="B516" s="2"/>
      <c r="C516" s="2"/>
    </row>
    <row r="517" spans="2:3" x14ac:dyDescent="0.25">
      <c r="B517" s="2"/>
      <c r="C517" s="2"/>
    </row>
    <row r="518" spans="2:3" x14ac:dyDescent="0.25">
      <c r="B518" s="2"/>
      <c r="C518" s="2"/>
    </row>
    <row r="519" spans="2:3" x14ac:dyDescent="0.25">
      <c r="B519" s="2"/>
      <c r="C519" s="2"/>
    </row>
    <row r="520" spans="2:3" x14ac:dyDescent="0.25">
      <c r="B520" s="2"/>
      <c r="C520" s="2"/>
    </row>
    <row r="521" spans="2:3" x14ac:dyDescent="0.25">
      <c r="B521" s="2"/>
      <c r="C521" s="2"/>
    </row>
    <row r="522" spans="2:3" x14ac:dyDescent="0.25">
      <c r="B522" s="2"/>
      <c r="C522" s="2"/>
    </row>
    <row r="523" spans="2:3" x14ac:dyDescent="0.25">
      <c r="B523" s="2"/>
      <c r="C523" s="2"/>
    </row>
    <row r="524" spans="2:3" x14ac:dyDescent="0.25">
      <c r="B524" s="2"/>
      <c r="C524" s="2"/>
    </row>
    <row r="525" spans="2:3" x14ac:dyDescent="0.25">
      <c r="B525" s="2"/>
      <c r="C525" s="2"/>
    </row>
    <row r="526" spans="2:3" x14ac:dyDescent="0.25">
      <c r="B526" s="2"/>
      <c r="C526" s="2"/>
    </row>
    <row r="527" spans="2:3" x14ac:dyDescent="0.25">
      <c r="B527" s="2"/>
      <c r="C527" s="2"/>
    </row>
    <row r="528" spans="2:3" x14ac:dyDescent="0.25">
      <c r="B528" s="2"/>
      <c r="C528" s="2"/>
    </row>
    <row r="529" spans="2:3" x14ac:dyDescent="0.25">
      <c r="B529" s="2"/>
      <c r="C529" s="2"/>
    </row>
    <row r="530" spans="2:3" x14ac:dyDescent="0.25">
      <c r="B530" s="2"/>
      <c r="C530" s="2"/>
    </row>
    <row r="531" spans="2:3" x14ac:dyDescent="0.25">
      <c r="B531" s="2"/>
      <c r="C531" s="2"/>
    </row>
    <row r="532" spans="2:3" x14ac:dyDescent="0.25">
      <c r="B532" s="2"/>
      <c r="C532" s="2"/>
    </row>
    <row r="533" spans="2:3" x14ac:dyDescent="0.25">
      <c r="B533" s="2"/>
      <c r="C533" s="2"/>
    </row>
    <row r="534" spans="2:3" x14ac:dyDescent="0.25">
      <c r="B534" s="2"/>
      <c r="C534" s="2"/>
    </row>
    <row r="535" spans="2:3" x14ac:dyDescent="0.25">
      <c r="B535" s="2"/>
      <c r="C535" s="2"/>
    </row>
    <row r="536" spans="2:3" x14ac:dyDescent="0.25">
      <c r="B536" s="2"/>
      <c r="C536" s="2"/>
    </row>
    <row r="537" spans="2:3" x14ac:dyDescent="0.25">
      <c r="B537" s="2"/>
      <c r="C537" s="2"/>
    </row>
    <row r="538" spans="2:3" x14ac:dyDescent="0.25">
      <c r="B538" s="2"/>
      <c r="C538" s="2"/>
    </row>
    <row r="539" spans="2:3" x14ac:dyDescent="0.25">
      <c r="B539" s="2"/>
      <c r="C539" s="2"/>
    </row>
    <row r="540" spans="2:3" x14ac:dyDescent="0.25">
      <c r="B540" s="2"/>
      <c r="C540" s="2"/>
    </row>
    <row r="541" spans="2:3" x14ac:dyDescent="0.25">
      <c r="B541" s="2"/>
      <c r="C541" s="2"/>
    </row>
    <row r="542" spans="2:3" x14ac:dyDescent="0.25">
      <c r="B542" s="2"/>
      <c r="C542" s="2"/>
    </row>
    <row r="543" spans="2:3" x14ac:dyDescent="0.25">
      <c r="B543" s="2"/>
      <c r="C543" s="2"/>
    </row>
    <row r="544" spans="2:3" x14ac:dyDescent="0.25">
      <c r="B544" s="2"/>
      <c r="C544" s="2"/>
    </row>
    <row r="545" spans="2:3" x14ac:dyDescent="0.25">
      <c r="B545" s="2"/>
      <c r="C545" s="2"/>
    </row>
    <row r="546" spans="2:3" x14ac:dyDescent="0.25">
      <c r="B546" s="2"/>
      <c r="C546" s="2"/>
    </row>
    <row r="547" spans="2:3" x14ac:dyDescent="0.25">
      <c r="B547" s="2"/>
      <c r="C547" s="2"/>
    </row>
    <row r="548" spans="2:3" x14ac:dyDescent="0.25">
      <c r="B548" s="2"/>
      <c r="C548" s="2"/>
    </row>
    <row r="549" spans="2:3" x14ac:dyDescent="0.25">
      <c r="B549" s="2"/>
      <c r="C549" s="2"/>
    </row>
    <row r="550" spans="2:3" x14ac:dyDescent="0.25">
      <c r="B550" s="2"/>
      <c r="C550" s="2"/>
    </row>
    <row r="551" spans="2:3" x14ac:dyDescent="0.25">
      <c r="B551" s="2"/>
      <c r="C551" s="2"/>
    </row>
    <row r="552" spans="2:3" x14ac:dyDescent="0.25">
      <c r="B552" s="2"/>
      <c r="C552" s="2"/>
    </row>
    <row r="553" spans="2:3" x14ac:dyDescent="0.25">
      <c r="B553" s="2"/>
      <c r="C553" s="2"/>
    </row>
    <row r="554" spans="2:3" x14ac:dyDescent="0.25">
      <c r="B554" s="2"/>
      <c r="C554" s="2"/>
    </row>
    <row r="555" spans="2:3" x14ac:dyDescent="0.25">
      <c r="B555" s="2"/>
      <c r="C555" s="2"/>
    </row>
    <row r="556" spans="2:3" x14ac:dyDescent="0.25">
      <c r="B556" s="2"/>
      <c r="C556" s="2"/>
    </row>
    <row r="557" spans="2:3" x14ac:dyDescent="0.25">
      <c r="B557" s="2"/>
      <c r="C557" s="2"/>
    </row>
    <row r="558" spans="2:3" x14ac:dyDescent="0.25">
      <c r="B558" s="2"/>
      <c r="C558" s="2"/>
    </row>
    <row r="559" spans="2:3" x14ac:dyDescent="0.25">
      <c r="B559" s="2"/>
      <c r="C559" s="2"/>
    </row>
    <row r="560" spans="2:3" x14ac:dyDescent="0.25">
      <c r="B560" s="2"/>
      <c r="C560" s="2"/>
    </row>
    <row r="561" spans="2:3" x14ac:dyDescent="0.25">
      <c r="B561" s="2"/>
      <c r="C561" s="2"/>
    </row>
    <row r="562" spans="2:3" x14ac:dyDescent="0.25">
      <c r="B562" s="2"/>
      <c r="C562" s="2"/>
    </row>
    <row r="563" spans="2:3" x14ac:dyDescent="0.25">
      <c r="B563" s="2"/>
      <c r="C563" s="2"/>
    </row>
    <row r="564" spans="2:3" x14ac:dyDescent="0.25">
      <c r="B564" s="2"/>
      <c r="C564" s="2"/>
    </row>
    <row r="565" spans="2:3" x14ac:dyDescent="0.25">
      <c r="B565" s="2"/>
      <c r="C565" s="2"/>
    </row>
    <row r="566" spans="2:3" x14ac:dyDescent="0.25">
      <c r="B566" s="2"/>
      <c r="C566" s="2"/>
    </row>
    <row r="567" spans="2:3" x14ac:dyDescent="0.25">
      <c r="B567" s="2"/>
      <c r="C567" s="2"/>
    </row>
    <row r="568" spans="2:3" x14ac:dyDescent="0.25">
      <c r="B568" s="2"/>
      <c r="C568" s="2"/>
    </row>
    <row r="569" spans="2:3" x14ac:dyDescent="0.25">
      <c r="B569" s="2"/>
      <c r="C569" s="2"/>
    </row>
    <row r="570" spans="2:3" x14ac:dyDescent="0.25">
      <c r="B570" s="2"/>
      <c r="C570" s="2"/>
    </row>
    <row r="571" spans="2:3" x14ac:dyDescent="0.25">
      <c r="B571" s="2"/>
      <c r="C571" s="2"/>
    </row>
    <row r="572" spans="2:3" x14ac:dyDescent="0.25">
      <c r="B572" s="2"/>
      <c r="C572" s="2"/>
    </row>
    <row r="573" spans="2:3" x14ac:dyDescent="0.25">
      <c r="B573" s="2"/>
      <c r="C573" s="2"/>
    </row>
    <row r="574" spans="2:3" x14ac:dyDescent="0.25">
      <c r="B574" s="2"/>
      <c r="C574" s="2"/>
    </row>
    <row r="575" spans="2:3" x14ac:dyDescent="0.25">
      <c r="B575" s="2"/>
      <c r="C575" s="2"/>
    </row>
    <row r="576" spans="2:3" x14ac:dyDescent="0.25">
      <c r="B576" s="2"/>
      <c r="C576" s="2"/>
    </row>
    <row r="577" spans="2:3" x14ac:dyDescent="0.25">
      <c r="B577" s="2"/>
      <c r="C577" s="2"/>
    </row>
    <row r="578" spans="2:3" x14ac:dyDescent="0.25">
      <c r="B578" s="2"/>
      <c r="C578" s="2"/>
    </row>
    <row r="579" spans="2:3" x14ac:dyDescent="0.25">
      <c r="B579" s="2"/>
      <c r="C579" s="2"/>
    </row>
    <row r="580" spans="2:3" x14ac:dyDescent="0.25">
      <c r="B580" s="2"/>
      <c r="C580" s="2"/>
    </row>
    <row r="581" spans="2:3" x14ac:dyDescent="0.25">
      <c r="B581" s="2"/>
      <c r="C581" s="2"/>
    </row>
    <row r="582" spans="2:3" x14ac:dyDescent="0.25">
      <c r="B582" s="2"/>
      <c r="C582" s="2"/>
    </row>
    <row r="583" spans="2:3" x14ac:dyDescent="0.25">
      <c r="B583" s="2"/>
      <c r="C583" s="2"/>
    </row>
    <row r="584" spans="2:3" x14ac:dyDescent="0.25">
      <c r="B584" s="2"/>
      <c r="C584" s="2"/>
    </row>
    <row r="585" spans="2:3" x14ac:dyDescent="0.25">
      <c r="B585" s="2"/>
      <c r="C585" s="2"/>
    </row>
    <row r="586" spans="2:3" x14ac:dyDescent="0.25">
      <c r="B586" s="2"/>
      <c r="C586" s="2"/>
    </row>
    <row r="587" spans="2:3" x14ac:dyDescent="0.25">
      <c r="B587" s="2"/>
      <c r="C587" s="2"/>
    </row>
    <row r="588" spans="2:3" x14ac:dyDescent="0.25">
      <c r="B588" s="2"/>
      <c r="C588" s="2"/>
    </row>
    <row r="589" spans="2:3" x14ac:dyDescent="0.25">
      <c r="B589" s="2"/>
      <c r="C589" s="2"/>
    </row>
    <row r="590" spans="2:3" x14ac:dyDescent="0.25">
      <c r="B590" s="2"/>
      <c r="C590" s="2"/>
    </row>
    <row r="591" spans="2:3" x14ac:dyDescent="0.25">
      <c r="B591" s="2"/>
      <c r="C591" s="2"/>
    </row>
    <row r="592" spans="2:3" x14ac:dyDescent="0.25">
      <c r="B592" s="2"/>
      <c r="C592" s="2"/>
    </row>
    <row r="593" spans="2:3" x14ac:dyDescent="0.25">
      <c r="B593" s="2"/>
      <c r="C593" s="2"/>
    </row>
    <row r="594" spans="2:3" x14ac:dyDescent="0.25">
      <c r="B594" s="2"/>
      <c r="C594" s="2"/>
    </row>
    <row r="595" spans="2:3" x14ac:dyDescent="0.25">
      <c r="B595" s="2"/>
      <c r="C595" s="2"/>
    </row>
    <row r="596" spans="2:3" x14ac:dyDescent="0.25">
      <c r="B596" s="2"/>
      <c r="C596" s="2"/>
    </row>
    <row r="597" spans="2:3" x14ac:dyDescent="0.25">
      <c r="B597" s="2"/>
      <c r="C597" s="2"/>
    </row>
    <row r="598" spans="2:3" x14ac:dyDescent="0.25">
      <c r="B598" s="2"/>
      <c r="C598" s="2"/>
    </row>
    <row r="599" spans="2:3" x14ac:dyDescent="0.25">
      <c r="B599" s="2"/>
      <c r="C599" s="2"/>
    </row>
    <row r="600" spans="2:3" x14ac:dyDescent="0.25">
      <c r="B600" s="2"/>
      <c r="C600" s="2"/>
    </row>
    <row r="601" spans="2:3" x14ac:dyDescent="0.25">
      <c r="B601" s="2"/>
      <c r="C601" s="2"/>
    </row>
    <row r="602" spans="2:3" x14ac:dyDescent="0.25">
      <c r="B602" s="2"/>
      <c r="C602" s="2"/>
    </row>
    <row r="603" spans="2:3" x14ac:dyDescent="0.25">
      <c r="B603" s="2"/>
      <c r="C603" s="2"/>
    </row>
    <row r="604" spans="2:3" x14ac:dyDescent="0.25">
      <c r="B604" s="2"/>
      <c r="C604" s="2"/>
    </row>
    <row r="605" spans="2:3" x14ac:dyDescent="0.25">
      <c r="B605" s="2"/>
      <c r="C605" s="2"/>
    </row>
    <row r="606" spans="2:3" x14ac:dyDescent="0.25">
      <c r="B606" s="2"/>
      <c r="C606" s="2"/>
    </row>
    <row r="607" spans="2:3" x14ac:dyDescent="0.25">
      <c r="B607" s="2"/>
      <c r="C607" s="2"/>
    </row>
    <row r="608" spans="2:3" x14ac:dyDescent="0.25">
      <c r="B608" s="2"/>
      <c r="C608" s="2"/>
    </row>
    <row r="609" spans="2:3" x14ac:dyDescent="0.25">
      <c r="B609" s="2"/>
      <c r="C609" s="2"/>
    </row>
    <row r="610" spans="2:3" x14ac:dyDescent="0.25">
      <c r="B610" s="2"/>
      <c r="C610" s="2"/>
    </row>
    <row r="611" spans="2:3" x14ac:dyDescent="0.25">
      <c r="B611" s="2"/>
      <c r="C611" s="2"/>
    </row>
    <row r="612" spans="2:3" x14ac:dyDescent="0.25">
      <c r="B612" s="2"/>
      <c r="C612" s="2"/>
    </row>
    <row r="613" spans="2:3" x14ac:dyDescent="0.25">
      <c r="B613" s="2"/>
      <c r="C613" s="2"/>
    </row>
    <row r="614" spans="2:3" x14ac:dyDescent="0.25">
      <c r="B614" s="2"/>
      <c r="C614" s="2"/>
    </row>
    <row r="615" spans="2:3" x14ac:dyDescent="0.25">
      <c r="B615" s="2"/>
      <c r="C615" s="2"/>
    </row>
    <row r="616" spans="2:3" x14ac:dyDescent="0.25">
      <c r="B616" s="2"/>
      <c r="C616" s="2"/>
    </row>
    <row r="617" spans="2:3" x14ac:dyDescent="0.25">
      <c r="B617" s="2"/>
      <c r="C617" s="2"/>
    </row>
    <row r="618" spans="2:3" x14ac:dyDescent="0.25">
      <c r="B618" s="2"/>
      <c r="C618" s="2"/>
    </row>
    <row r="619" spans="2:3" x14ac:dyDescent="0.25">
      <c r="B619" s="2"/>
      <c r="C619" s="2"/>
    </row>
    <row r="620" spans="2:3" x14ac:dyDescent="0.25">
      <c r="B620" s="2"/>
      <c r="C620" s="2"/>
    </row>
    <row r="621" spans="2:3" x14ac:dyDescent="0.25">
      <c r="B621" s="2"/>
      <c r="C621" s="2"/>
    </row>
    <row r="622" spans="2:3" x14ac:dyDescent="0.25">
      <c r="B622" s="2"/>
      <c r="C622" s="2"/>
    </row>
    <row r="623" spans="2:3" x14ac:dyDescent="0.25">
      <c r="B623" s="2"/>
      <c r="C623" s="2"/>
    </row>
    <row r="624" spans="2:3" x14ac:dyDescent="0.25">
      <c r="B624" s="2"/>
      <c r="C624" s="2"/>
    </row>
    <row r="625" spans="2:3" x14ac:dyDescent="0.25">
      <c r="B625" s="2"/>
      <c r="C625" s="2"/>
    </row>
    <row r="626" spans="2:3" x14ac:dyDescent="0.25">
      <c r="B626" s="2"/>
      <c r="C626" s="2"/>
    </row>
  </sheetData>
  <autoFilter ref="A4:S82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6">
    <mergeCell ref="B4:B7"/>
    <mergeCell ref="A4:A7"/>
    <mergeCell ref="Q1:S1"/>
    <mergeCell ref="D4:I4"/>
    <mergeCell ref="J5:K6"/>
    <mergeCell ref="L5:N5"/>
    <mergeCell ref="N6:N7"/>
    <mergeCell ref="L6:M6"/>
    <mergeCell ref="Q4:R6"/>
    <mergeCell ref="S4:S7"/>
    <mergeCell ref="D5:E6"/>
    <mergeCell ref="F5:G6"/>
    <mergeCell ref="H5:I6"/>
    <mergeCell ref="O4:P6"/>
    <mergeCell ref="J4:N4"/>
    <mergeCell ref="F2:M2"/>
  </mergeCells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82" zoomScaleNormal="82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F90" sqref="F90"/>
    </sheetView>
  </sheetViews>
  <sheetFormatPr defaultColWidth="9.140625" defaultRowHeight="15" x14ac:dyDescent="0.25"/>
  <cols>
    <col min="1" max="1" width="4.28515625" style="2" customWidth="1"/>
    <col min="2" max="2" width="55.85546875" style="2" customWidth="1"/>
    <col min="3" max="3" width="15.85546875" style="2" hidden="1" customWidth="1"/>
    <col min="4" max="4" width="16" style="2" customWidth="1"/>
    <col min="5" max="5" width="20.28515625" style="142" customWidth="1"/>
    <col min="6" max="6" width="21.5703125" style="138" bestFit="1" customWidth="1"/>
    <col min="7" max="7" width="26" style="138" customWidth="1"/>
    <col min="8" max="8" width="23.28515625" style="138" customWidth="1"/>
    <col min="9" max="9" width="18.42578125" style="2" customWidth="1"/>
    <col min="10" max="10" width="18.140625" style="2" customWidth="1"/>
    <col min="11" max="11" width="24.140625" style="39" customWidth="1"/>
    <col min="12" max="12" width="13.28515625" style="39" hidden="1" customWidth="1"/>
    <col min="13" max="13" width="7.7109375" style="26" customWidth="1"/>
    <col min="14" max="14" width="10.28515625" style="2" hidden="1" customWidth="1"/>
    <col min="15" max="16384" width="9.140625" style="2"/>
  </cols>
  <sheetData>
    <row r="1" spans="1:13" ht="15.75" x14ac:dyDescent="0.25">
      <c r="K1" s="107" t="s">
        <v>137</v>
      </c>
      <c r="L1" s="58"/>
      <c r="M1" s="34"/>
    </row>
    <row r="2" spans="1:13" ht="43.5" customHeight="1" x14ac:dyDescent="0.25">
      <c r="D2" s="198" t="s">
        <v>156</v>
      </c>
      <c r="E2" s="198"/>
      <c r="F2" s="198"/>
      <c r="G2" s="198"/>
      <c r="H2" s="198"/>
    </row>
    <row r="3" spans="1:13" x14ac:dyDescent="0.25">
      <c r="D3" s="2" t="s">
        <v>157</v>
      </c>
    </row>
    <row r="4" spans="1:13" ht="15" customHeight="1" x14ac:dyDescent="0.25">
      <c r="A4" s="205" t="s">
        <v>79</v>
      </c>
      <c r="B4" s="205" t="s">
        <v>80</v>
      </c>
      <c r="C4" s="205" t="s">
        <v>81</v>
      </c>
      <c r="D4" s="205" t="s">
        <v>81</v>
      </c>
      <c r="E4" s="202" t="s">
        <v>82</v>
      </c>
      <c r="F4" s="203"/>
      <c r="G4" s="203"/>
      <c r="H4" s="203"/>
      <c r="I4" s="203"/>
      <c r="J4" s="204"/>
      <c r="K4" s="137"/>
      <c r="L4" s="67"/>
      <c r="M4" s="25"/>
    </row>
    <row r="5" spans="1:13" x14ac:dyDescent="0.25">
      <c r="A5" s="206"/>
      <c r="B5" s="206"/>
      <c r="C5" s="206"/>
      <c r="D5" s="206"/>
      <c r="E5" s="208" t="s">
        <v>0</v>
      </c>
      <c r="F5" s="211" t="s">
        <v>83</v>
      </c>
      <c r="G5" s="211"/>
      <c r="H5" s="211"/>
      <c r="I5" s="211"/>
      <c r="J5" s="211"/>
      <c r="K5" s="199" t="s">
        <v>84</v>
      </c>
      <c r="L5" s="68"/>
      <c r="M5" s="25"/>
    </row>
    <row r="6" spans="1:13" ht="15" customHeight="1" x14ac:dyDescent="0.25">
      <c r="A6" s="206"/>
      <c r="B6" s="206"/>
      <c r="C6" s="206"/>
      <c r="D6" s="206"/>
      <c r="E6" s="209"/>
      <c r="F6" s="211"/>
      <c r="G6" s="211"/>
      <c r="H6" s="211"/>
      <c r="I6" s="211"/>
      <c r="J6" s="211"/>
      <c r="K6" s="200"/>
      <c r="L6" s="68"/>
      <c r="M6" s="25"/>
    </row>
    <row r="7" spans="1:13" ht="63.75" x14ac:dyDescent="0.25">
      <c r="A7" s="207"/>
      <c r="B7" s="207"/>
      <c r="C7" s="207"/>
      <c r="D7" s="207"/>
      <c r="E7" s="210"/>
      <c r="F7" s="76" t="s">
        <v>11</v>
      </c>
      <c r="G7" s="76" t="s">
        <v>129</v>
      </c>
      <c r="H7" s="76" t="s">
        <v>135</v>
      </c>
      <c r="I7" s="30" t="s">
        <v>85</v>
      </c>
      <c r="J7" s="30" t="s">
        <v>86</v>
      </c>
      <c r="K7" s="201"/>
      <c r="L7" s="68"/>
      <c r="M7" s="25"/>
    </row>
    <row r="8" spans="1:13" ht="30" x14ac:dyDescent="0.25">
      <c r="A8" s="29">
        <v>1</v>
      </c>
      <c r="B8" s="28" t="s">
        <v>14</v>
      </c>
      <c r="C8" s="29">
        <v>98</v>
      </c>
      <c r="D8" s="55">
        <v>132</v>
      </c>
      <c r="E8" s="143">
        <f>SUM(F8:J8)</f>
        <v>15922.899800000001</v>
      </c>
      <c r="F8" s="156">
        <v>11423.27398</v>
      </c>
      <c r="G8" s="73">
        <v>0</v>
      </c>
      <c r="H8" s="157">
        <v>2849.6676000000002</v>
      </c>
      <c r="I8" s="56">
        <f>'[1]Форма 1'!P8</f>
        <v>0</v>
      </c>
      <c r="J8" s="73">
        <v>1649.95822</v>
      </c>
      <c r="K8" s="73">
        <v>13361.654180000001</v>
      </c>
      <c r="L8" s="69">
        <f>K8-'[2]Форма 2 '!$E$8</f>
        <v>0</v>
      </c>
      <c r="M8" s="35">
        <f>(E8-K8)/E8*100</f>
        <v>16.085296347842366</v>
      </c>
    </row>
    <row r="9" spans="1:13" x14ac:dyDescent="0.25">
      <c r="A9" s="29">
        <v>2</v>
      </c>
      <c r="B9" s="28" t="s">
        <v>15</v>
      </c>
      <c r="C9" s="29">
        <v>67</v>
      </c>
      <c r="D9" s="55">
        <v>121</v>
      </c>
      <c r="E9" s="143">
        <f>SUM(F9:J9)</f>
        <v>11051.228880000001</v>
      </c>
      <c r="F9" s="156">
        <v>7534.6908700000004</v>
      </c>
      <c r="G9" s="73">
        <v>0</v>
      </c>
      <c r="H9" s="157">
        <v>2169.1320000000001</v>
      </c>
      <c r="I9" s="56">
        <v>0</v>
      </c>
      <c r="J9" s="73">
        <v>1347.4060099999999</v>
      </c>
      <c r="K9" s="73">
        <v>10060.544519999999</v>
      </c>
      <c r="L9" s="59">
        <f>K9-'[2]Форма 2 '!$E$9</f>
        <v>0</v>
      </c>
      <c r="M9" s="35">
        <f t="shared" ref="M9:M69" si="0">(E9-K9)/E9*100</f>
        <v>8.9644723745871868</v>
      </c>
    </row>
    <row r="10" spans="1:13" x14ac:dyDescent="0.25">
      <c r="A10" s="29">
        <v>3</v>
      </c>
      <c r="B10" s="28" t="s">
        <v>16</v>
      </c>
      <c r="C10" s="29">
        <v>100</v>
      </c>
      <c r="D10" s="55">
        <v>162</v>
      </c>
      <c r="E10" s="143">
        <f t="shared" ref="E10:E69" si="1">SUM(F10:J10)</f>
        <v>14986.98106</v>
      </c>
      <c r="F10" s="156">
        <v>10567.39719</v>
      </c>
      <c r="G10" s="73">
        <v>0</v>
      </c>
      <c r="H10" s="157">
        <v>2384.19</v>
      </c>
      <c r="I10" s="56">
        <v>0</v>
      </c>
      <c r="J10" s="73">
        <v>2035.3938700000001</v>
      </c>
      <c r="K10" s="73">
        <v>17471.590340000002</v>
      </c>
      <c r="L10" s="59">
        <f>K10-'[2]Форма 2 '!$E$10</f>
        <v>0</v>
      </c>
      <c r="M10" s="35">
        <f t="shared" si="0"/>
        <v>-16.578450790408901</v>
      </c>
    </row>
    <row r="11" spans="1:13" x14ac:dyDescent="0.25">
      <c r="A11" s="29">
        <v>4</v>
      </c>
      <c r="B11" s="28" t="s">
        <v>17</v>
      </c>
      <c r="C11" s="29">
        <v>127</v>
      </c>
      <c r="D11" s="55">
        <v>130</v>
      </c>
      <c r="E11" s="143">
        <f t="shared" si="1"/>
        <v>12294.044780000002</v>
      </c>
      <c r="F11" s="156">
        <v>8206.2960600000006</v>
      </c>
      <c r="G11" s="73">
        <v>0</v>
      </c>
      <c r="H11" s="157">
        <v>2040.0119999999999</v>
      </c>
      <c r="I11" s="56">
        <v>0</v>
      </c>
      <c r="J11" s="73">
        <v>2047.7367200000001</v>
      </c>
      <c r="K11" s="73">
        <v>12429.115400000001</v>
      </c>
      <c r="L11" s="59">
        <f>K11-'[2]Форма 2 '!$E$11</f>
        <v>0</v>
      </c>
      <c r="M11" s="35">
        <f t="shared" si="0"/>
        <v>-1.0986670572384118</v>
      </c>
    </row>
    <row r="12" spans="1:13" ht="30" x14ac:dyDescent="0.25">
      <c r="A12" s="29">
        <v>5</v>
      </c>
      <c r="B12" s="28" t="s">
        <v>18</v>
      </c>
      <c r="C12" s="29">
        <v>157</v>
      </c>
      <c r="D12" s="55">
        <v>380</v>
      </c>
      <c r="E12" s="143">
        <f t="shared" si="1"/>
        <v>37075.094140000001</v>
      </c>
      <c r="F12" s="156">
        <v>21746.95131</v>
      </c>
      <c r="G12" s="73">
        <v>0</v>
      </c>
      <c r="H12" s="157">
        <v>11065.85478</v>
      </c>
      <c r="I12" s="56">
        <v>0</v>
      </c>
      <c r="J12" s="73">
        <v>4262.2880500000001</v>
      </c>
      <c r="K12" s="73">
        <v>40717.857429999996</v>
      </c>
      <c r="L12" s="59">
        <f>K12-'[2]Форма 2 '!$E$12</f>
        <v>0</v>
      </c>
      <c r="M12" s="35">
        <f t="shared" si="0"/>
        <v>-9.8253649100511637</v>
      </c>
    </row>
    <row r="13" spans="1:13" ht="30" x14ac:dyDescent="0.25">
      <c r="A13" s="29">
        <v>6</v>
      </c>
      <c r="B13" s="28" t="s">
        <v>19</v>
      </c>
      <c r="C13" s="29">
        <v>180</v>
      </c>
      <c r="D13" s="55">
        <v>274</v>
      </c>
      <c r="E13" s="143">
        <f t="shared" si="1"/>
        <v>24922.67613</v>
      </c>
      <c r="F13" s="156">
        <v>17524.14631</v>
      </c>
      <c r="G13" s="73">
        <v>0</v>
      </c>
      <c r="H13" s="157">
        <v>4974.0641999999998</v>
      </c>
      <c r="I13" s="56">
        <v>0</v>
      </c>
      <c r="J13" s="73">
        <v>2424.4656199999999</v>
      </c>
      <c r="K13" s="73">
        <v>21430.855619999995</v>
      </c>
      <c r="L13" s="59">
        <f>K13-'[2]Форма 2 '!$E$13</f>
        <v>0</v>
      </c>
      <c r="M13" s="35">
        <f t="shared" si="0"/>
        <v>14.010616242759019</v>
      </c>
    </row>
    <row r="14" spans="1:13" x14ac:dyDescent="0.25">
      <c r="A14" s="29">
        <v>7</v>
      </c>
      <c r="B14" s="28" t="s">
        <v>20</v>
      </c>
      <c r="C14" s="29">
        <f>230+80</f>
        <v>310</v>
      </c>
      <c r="D14" s="55">
        <v>372</v>
      </c>
      <c r="E14" s="143">
        <f t="shared" si="1"/>
        <v>31786.059789999999</v>
      </c>
      <c r="F14" s="156">
        <v>25438.91617</v>
      </c>
      <c r="G14" s="73">
        <v>0</v>
      </c>
      <c r="H14" s="157">
        <v>5126.7773699999998</v>
      </c>
      <c r="I14" s="56">
        <v>0</v>
      </c>
      <c r="J14" s="73">
        <v>1220.36625</v>
      </c>
      <c r="K14" s="73">
        <v>30508.412839999997</v>
      </c>
      <c r="L14" s="59">
        <f>K14-'[2]Форма 2 '!$E$14</f>
        <v>0</v>
      </c>
      <c r="M14" s="35">
        <f t="shared" si="0"/>
        <v>4.0195197468355426</v>
      </c>
    </row>
    <row r="15" spans="1:13" x14ac:dyDescent="0.25">
      <c r="A15" s="29">
        <v>8</v>
      </c>
      <c r="B15" s="28" t="s">
        <v>21</v>
      </c>
      <c r="C15" s="29">
        <f>189+50</f>
        <v>239</v>
      </c>
      <c r="D15" s="55">
        <v>270</v>
      </c>
      <c r="E15" s="143">
        <f t="shared" si="1"/>
        <v>23600.918909999997</v>
      </c>
      <c r="F15" s="156">
        <v>18613.881689999998</v>
      </c>
      <c r="G15" s="73">
        <v>504.62848000000002</v>
      </c>
      <c r="H15" s="157">
        <v>3865.2271599999999</v>
      </c>
      <c r="I15" s="56">
        <v>0</v>
      </c>
      <c r="J15" s="73">
        <v>617.18158000000005</v>
      </c>
      <c r="K15" s="73">
        <v>79487.527010000005</v>
      </c>
      <c r="L15" s="59">
        <f>K15-'[2]Форма 2 '!$E$15</f>
        <v>0</v>
      </c>
      <c r="M15" s="35">
        <f t="shared" si="0"/>
        <v>-236.79844125187927</v>
      </c>
    </row>
    <row r="16" spans="1:13" x14ac:dyDescent="0.25">
      <c r="A16" s="29">
        <v>9</v>
      </c>
      <c r="B16" s="28" t="s">
        <v>22</v>
      </c>
      <c r="C16" s="29">
        <f>234</f>
        <v>234</v>
      </c>
      <c r="D16" s="55">
        <v>256</v>
      </c>
      <c r="E16" s="143">
        <f t="shared" si="1"/>
        <v>19972.697889999999</v>
      </c>
      <c r="F16" s="156">
        <v>16862.440269999999</v>
      </c>
      <c r="G16" s="73">
        <v>0</v>
      </c>
      <c r="H16" s="157">
        <v>3086.0754499999998</v>
      </c>
      <c r="I16" s="56">
        <v>0</v>
      </c>
      <c r="J16" s="73">
        <v>24.182169999999999</v>
      </c>
      <c r="K16" s="73">
        <v>18905.674709999999</v>
      </c>
      <c r="L16" s="59">
        <f>K16-'[2]Форма 2 '!$E$16</f>
        <v>0</v>
      </c>
      <c r="M16" s="35">
        <f t="shared" si="0"/>
        <v>5.3424088517067139</v>
      </c>
    </row>
    <row r="17" spans="1:13" x14ac:dyDescent="0.25">
      <c r="A17" s="29">
        <v>10</v>
      </c>
      <c r="B17" s="28" t="s">
        <v>23</v>
      </c>
      <c r="C17" s="29">
        <f>236</f>
        <v>236</v>
      </c>
      <c r="D17" s="55">
        <v>303</v>
      </c>
      <c r="E17" s="143">
        <f t="shared" si="1"/>
        <v>37634.143079999994</v>
      </c>
      <c r="F17" s="156">
        <v>20005.515319999999</v>
      </c>
      <c r="G17" s="73">
        <v>11765.61189</v>
      </c>
      <c r="H17" s="157">
        <v>5487.5189499999997</v>
      </c>
      <c r="I17" s="56">
        <v>0</v>
      </c>
      <c r="J17" s="73">
        <v>375.49691999999999</v>
      </c>
      <c r="K17" s="73">
        <v>77879.80704</v>
      </c>
      <c r="L17" s="59">
        <f>K17-'[2]Форма 2 '!$E$17</f>
        <v>0</v>
      </c>
      <c r="M17" s="35">
        <f t="shared" si="0"/>
        <v>-106.93923301096196</v>
      </c>
    </row>
    <row r="18" spans="1:13" x14ac:dyDescent="0.25">
      <c r="A18" s="29">
        <v>11</v>
      </c>
      <c r="B18" s="28" t="s">
        <v>24</v>
      </c>
      <c r="C18" s="29">
        <f>224</f>
        <v>224</v>
      </c>
      <c r="D18" s="55">
        <v>293</v>
      </c>
      <c r="E18" s="143">
        <f t="shared" si="1"/>
        <v>45912.756330000004</v>
      </c>
      <c r="F18" s="156">
        <v>19597.531019999999</v>
      </c>
      <c r="G18" s="73">
        <v>0</v>
      </c>
      <c r="H18" s="157">
        <v>26315.225310000002</v>
      </c>
      <c r="I18" s="56">
        <v>0</v>
      </c>
      <c r="J18" s="73">
        <v>0</v>
      </c>
      <c r="K18" s="73">
        <v>24526.029429999995</v>
      </c>
      <c r="L18" s="59">
        <f>K18-'[2]Форма 2 '!$E$18</f>
        <v>0</v>
      </c>
      <c r="M18" s="35">
        <f t="shared" si="0"/>
        <v>46.581230598054155</v>
      </c>
    </row>
    <row r="19" spans="1:13" x14ac:dyDescent="0.25">
      <c r="A19" s="29">
        <v>12</v>
      </c>
      <c r="B19" s="28" t="s">
        <v>25</v>
      </c>
      <c r="C19" s="29">
        <f>526+20</f>
        <v>546</v>
      </c>
      <c r="D19" s="55">
        <v>585</v>
      </c>
      <c r="E19" s="143">
        <f t="shared" si="1"/>
        <v>34181.71875</v>
      </c>
      <c r="F19" s="156">
        <v>27684.718860000001</v>
      </c>
      <c r="G19" s="73">
        <v>0</v>
      </c>
      <c r="H19" s="157">
        <v>6496.9998900000001</v>
      </c>
      <c r="I19" s="56">
        <v>0</v>
      </c>
      <c r="J19" s="73">
        <v>0</v>
      </c>
      <c r="K19" s="73">
        <v>31698.533390000001</v>
      </c>
      <c r="L19" s="59">
        <f>K19-'[2]Форма 2 '!$E$19</f>
        <v>0</v>
      </c>
      <c r="M19" s="35">
        <f t="shared" si="0"/>
        <v>7.2646591535131613</v>
      </c>
    </row>
    <row r="20" spans="1:13" x14ac:dyDescent="0.25">
      <c r="A20" s="29">
        <v>13</v>
      </c>
      <c r="B20" s="28" t="s">
        <v>26</v>
      </c>
      <c r="C20" s="29">
        <f>263+42</f>
        <v>305</v>
      </c>
      <c r="D20" s="55">
        <f>263+42</f>
        <v>305</v>
      </c>
      <c r="E20" s="143">
        <f t="shared" si="1"/>
        <v>37432.821409999997</v>
      </c>
      <c r="F20" s="156">
        <v>28152.853090000001</v>
      </c>
      <c r="G20" s="73">
        <v>0</v>
      </c>
      <c r="H20" s="157">
        <v>8257.9202000000005</v>
      </c>
      <c r="I20" s="56">
        <v>0</v>
      </c>
      <c r="J20" s="73">
        <f>1016.0216+6.02652</f>
        <v>1022.04812</v>
      </c>
      <c r="K20" s="73">
        <v>33992.159209999991</v>
      </c>
      <c r="L20" s="59">
        <f>K20-'[2]Форма 2 '!$E$20</f>
        <v>0</v>
      </c>
      <c r="M20" s="35">
        <f t="shared" si="0"/>
        <v>9.1915652371339824</v>
      </c>
    </row>
    <row r="21" spans="1:13" x14ac:dyDescent="0.25">
      <c r="A21" s="29">
        <v>14</v>
      </c>
      <c r="B21" s="28" t="s">
        <v>27</v>
      </c>
      <c r="C21" s="29">
        <v>150</v>
      </c>
      <c r="D21" s="55">
        <v>154</v>
      </c>
      <c r="E21" s="143">
        <f t="shared" si="1"/>
        <v>15456.58404</v>
      </c>
      <c r="F21" s="156">
        <v>10217.74084</v>
      </c>
      <c r="G21" s="73">
        <v>0</v>
      </c>
      <c r="H21" s="157">
        <v>3011.2372999999998</v>
      </c>
      <c r="I21" s="56">
        <v>0</v>
      </c>
      <c r="J21" s="73">
        <f>2196.03649+31.56941</f>
        <v>2227.6059</v>
      </c>
      <c r="K21" s="73">
        <v>13876.10038</v>
      </c>
      <c r="L21" s="59">
        <f>K21-'[2]Форма 2 '!$E$21</f>
        <v>0</v>
      </c>
      <c r="M21" s="35">
        <f>(E21-K21)/E21*100</f>
        <v>10.225310171444582</v>
      </c>
    </row>
    <row r="22" spans="1:13" ht="30" x14ac:dyDescent="0.25">
      <c r="A22" s="29">
        <v>15</v>
      </c>
      <c r="B22" s="71" t="s">
        <v>160</v>
      </c>
      <c r="C22" s="29">
        <v>94</v>
      </c>
      <c r="D22" s="55">
        <v>49</v>
      </c>
      <c r="E22" s="143">
        <f t="shared" si="1"/>
        <v>3141.4220000000005</v>
      </c>
      <c r="F22" s="156">
        <v>2172.2312000000002</v>
      </c>
      <c r="G22" s="73">
        <v>0</v>
      </c>
      <c r="H22" s="157">
        <v>546.78240000000005</v>
      </c>
      <c r="I22" s="56">
        <v>0</v>
      </c>
      <c r="J22" s="73">
        <f>414.8527+7.5557</f>
        <v>422.40840000000003</v>
      </c>
      <c r="K22" s="4" t="s">
        <v>161</v>
      </c>
      <c r="L22" s="59"/>
      <c r="M22" s="35" t="e">
        <f t="shared" si="0"/>
        <v>#VALUE!</v>
      </c>
    </row>
    <row r="23" spans="1:13" ht="30" x14ac:dyDescent="0.25">
      <c r="A23" s="29">
        <v>16</v>
      </c>
      <c r="B23" s="71" t="s">
        <v>28</v>
      </c>
      <c r="C23" s="29">
        <v>97</v>
      </c>
      <c r="D23" s="55">
        <v>146</v>
      </c>
      <c r="E23" s="143">
        <f t="shared" si="1"/>
        <v>13940.282080000001</v>
      </c>
      <c r="F23" s="156">
        <v>9387.0160500000002</v>
      </c>
      <c r="G23" s="73">
        <v>0</v>
      </c>
      <c r="H23" s="157">
        <v>2517.4389999999999</v>
      </c>
      <c r="I23" s="56">
        <v>0</v>
      </c>
      <c r="J23" s="73">
        <f>2008.88213+26.9449</f>
        <v>2035.8270299999999</v>
      </c>
      <c r="K23" s="73">
        <v>11902.45636</v>
      </c>
      <c r="L23" s="59">
        <f>K23-'[2]Форма 2 '!$E$22</f>
        <v>0</v>
      </c>
      <c r="M23" s="35">
        <f t="shared" si="0"/>
        <v>14.618253119308477</v>
      </c>
    </row>
    <row r="24" spans="1:13" ht="30" x14ac:dyDescent="0.25">
      <c r="A24" s="29">
        <v>17</v>
      </c>
      <c r="B24" s="71" t="s">
        <v>29</v>
      </c>
      <c r="C24" s="29">
        <v>68</v>
      </c>
      <c r="D24" s="55">
        <v>110</v>
      </c>
      <c r="E24" s="143">
        <f t="shared" si="1"/>
        <v>11225.392109999999</v>
      </c>
      <c r="F24" s="156">
        <v>7965.0656600000002</v>
      </c>
      <c r="G24" s="73">
        <v>0</v>
      </c>
      <c r="H24" s="157">
        <v>1925.7280000000001</v>
      </c>
      <c r="I24" s="56">
        <v>0</v>
      </c>
      <c r="J24" s="73">
        <v>1334.59845</v>
      </c>
      <c r="K24" s="73">
        <v>10170.395329999999</v>
      </c>
      <c r="L24" s="59">
        <f>K24-'[2]Форма 2 '!$E$23</f>
        <v>0</v>
      </c>
      <c r="M24" s="35">
        <f t="shared" si="0"/>
        <v>9.3983067109091802</v>
      </c>
    </row>
    <row r="25" spans="1:13" x14ac:dyDescent="0.25">
      <c r="A25" s="29">
        <v>18</v>
      </c>
      <c r="B25" s="71" t="s">
        <v>30</v>
      </c>
      <c r="C25" s="29">
        <v>107</v>
      </c>
      <c r="D25" s="55">
        <v>92</v>
      </c>
      <c r="E25" s="143">
        <f t="shared" si="1"/>
        <v>8910.5371699999996</v>
      </c>
      <c r="F25" s="156">
        <v>6214.4351900000001</v>
      </c>
      <c r="G25" s="73">
        <v>0</v>
      </c>
      <c r="H25" s="157">
        <v>1817.0904</v>
      </c>
      <c r="I25" s="56">
        <v>0</v>
      </c>
      <c r="J25" s="73">
        <v>879.01157999999998</v>
      </c>
      <c r="K25" s="73">
        <v>15325.405869999999</v>
      </c>
      <c r="L25" s="59">
        <f>K25-'[2]Форма 2 '!$E$24</f>
        <v>0</v>
      </c>
      <c r="M25" s="35">
        <f t="shared" si="0"/>
        <v>-71.991941424110564</v>
      </c>
    </row>
    <row r="26" spans="1:13" ht="30" x14ac:dyDescent="0.25">
      <c r="A26" s="29">
        <v>19</v>
      </c>
      <c r="B26" s="71" t="s">
        <v>31</v>
      </c>
      <c r="C26" s="29">
        <v>98</v>
      </c>
      <c r="D26" s="55">
        <v>135</v>
      </c>
      <c r="E26" s="143">
        <f t="shared" si="1"/>
        <v>19040.103350000001</v>
      </c>
      <c r="F26" s="156">
        <v>7873.2862599999999</v>
      </c>
      <c r="G26" s="73">
        <v>0</v>
      </c>
      <c r="H26" s="157">
        <v>9819.7429800000009</v>
      </c>
      <c r="I26" s="56">
        <v>0</v>
      </c>
      <c r="J26" s="73">
        <v>1347.07411</v>
      </c>
      <c r="K26" s="73">
        <v>12547.97213</v>
      </c>
      <c r="L26" s="59">
        <f>K26-'[2]Форма 2 '!$E$25</f>
        <v>0</v>
      </c>
      <c r="M26" s="35">
        <f t="shared" si="0"/>
        <v>34.097142755267662</v>
      </c>
    </row>
    <row r="27" spans="1:13" x14ac:dyDescent="0.25">
      <c r="A27" s="29">
        <v>20</v>
      </c>
      <c r="B27" s="71" t="s">
        <v>32</v>
      </c>
      <c r="C27" s="29">
        <v>38</v>
      </c>
      <c r="D27" s="55">
        <v>107</v>
      </c>
      <c r="E27" s="143">
        <f t="shared" si="1"/>
        <v>23349.68203</v>
      </c>
      <c r="F27" s="156">
        <v>4902.3888200000001</v>
      </c>
      <c r="G27" s="73">
        <v>0</v>
      </c>
      <c r="H27" s="157">
        <v>17608.17337</v>
      </c>
      <c r="I27" s="56">
        <v>0</v>
      </c>
      <c r="J27" s="73">
        <f>832.6113+6.50854</f>
        <v>839.11984000000007</v>
      </c>
      <c r="K27" s="73">
        <v>10142.36571</v>
      </c>
      <c r="L27" s="59">
        <f>K27-'[2]Форма 2 '!$E$26</f>
        <v>0</v>
      </c>
      <c r="M27" s="35">
        <f t="shared" si="0"/>
        <v>56.563152778830371</v>
      </c>
    </row>
    <row r="28" spans="1:13" x14ac:dyDescent="0.25">
      <c r="A28" s="29">
        <v>21</v>
      </c>
      <c r="B28" s="71" t="s">
        <v>33</v>
      </c>
      <c r="C28" s="29">
        <v>68</v>
      </c>
      <c r="D28" s="55">
        <v>38</v>
      </c>
      <c r="E28" s="143">
        <f t="shared" si="1"/>
        <v>4366.8927000000003</v>
      </c>
      <c r="F28" s="156">
        <v>3027.3189900000002</v>
      </c>
      <c r="G28" s="73">
        <v>0</v>
      </c>
      <c r="H28" s="157">
        <v>902.95600000000002</v>
      </c>
      <c r="I28" s="56">
        <v>0</v>
      </c>
      <c r="J28" s="73">
        <v>436.61770999999999</v>
      </c>
      <c r="K28" s="73">
        <v>3983.3724100000009</v>
      </c>
      <c r="L28" s="59">
        <f>K28-'[2]Форма 2 '!$E$27</f>
        <v>0</v>
      </c>
      <c r="M28" s="35">
        <f t="shared" si="0"/>
        <v>8.7824527953251401</v>
      </c>
    </row>
    <row r="29" spans="1:13" x14ac:dyDescent="0.25">
      <c r="A29" s="29">
        <v>22</v>
      </c>
      <c r="B29" s="71" t="s">
        <v>34</v>
      </c>
      <c r="C29" s="29">
        <v>75</v>
      </c>
      <c r="D29" s="55">
        <v>75</v>
      </c>
      <c r="E29" s="143">
        <f t="shared" si="1"/>
        <v>7500.4370600000002</v>
      </c>
      <c r="F29" s="156">
        <v>5158.9786999999997</v>
      </c>
      <c r="G29" s="73">
        <v>0</v>
      </c>
      <c r="H29" s="157">
        <v>1489.9290000000001</v>
      </c>
      <c r="I29" s="56">
        <v>0</v>
      </c>
      <c r="J29" s="73">
        <f>843.374+8.15536</f>
        <v>851.52936</v>
      </c>
      <c r="K29" s="73">
        <v>6301.795619999999</v>
      </c>
      <c r="L29" s="59">
        <f>K29-'[2]Форма 2 '!$E$28</f>
        <v>0</v>
      </c>
      <c r="M29" s="35">
        <f t="shared" si="0"/>
        <v>15.980954581865408</v>
      </c>
    </row>
    <row r="30" spans="1:13" x14ac:dyDescent="0.25">
      <c r="A30" s="29">
        <v>23</v>
      </c>
      <c r="B30" s="71" t="s">
        <v>35</v>
      </c>
      <c r="C30" s="29">
        <v>150</v>
      </c>
      <c r="D30" s="55">
        <v>90</v>
      </c>
      <c r="E30" s="143">
        <f t="shared" si="1"/>
        <v>9006.4612400000005</v>
      </c>
      <c r="F30" s="156">
        <v>6243.5225</v>
      </c>
      <c r="G30" s="73">
        <v>0</v>
      </c>
      <c r="H30" s="157">
        <v>1625.1310000000001</v>
      </c>
      <c r="I30" s="56">
        <v>0</v>
      </c>
      <c r="J30" s="73">
        <v>1137.80774</v>
      </c>
      <c r="K30" s="73">
        <v>12158.937250000001</v>
      </c>
      <c r="L30" s="59">
        <f>K30-'[2]Форма 2 '!$E$29</f>
        <v>0</v>
      </c>
      <c r="M30" s="35">
        <f t="shared" si="0"/>
        <v>-35.00238246736739</v>
      </c>
    </row>
    <row r="31" spans="1:13" x14ac:dyDescent="0.25">
      <c r="A31" s="29">
        <v>24</v>
      </c>
      <c r="B31" s="71" t="s">
        <v>36</v>
      </c>
      <c r="C31" s="29">
        <v>35</v>
      </c>
      <c r="D31" s="55">
        <v>223</v>
      </c>
      <c r="E31" s="143">
        <f t="shared" si="1"/>
        <v>30179.411899999999</v>
      </c>
      <c r="F31" s="156">
        <v>13691.45903</v>
      </c>
      <c r="G31" s="73">
        <v>0</v>
      </c>
      <c r="H31" s="157">
        <v>14252.002640000001</v>
      </c>
      <c r="I31" s="56">
        <v>0</v>
      </c>
      <c r="J31" s="73">
        <v>2235.9502299999999</v>
      </c>
      <c r="K31" s="73">
        <v>20177.587609999999</v>
      </c>
      <c r="L31" s="59">
        <f>K31-'[2]Форма 2 '!$E$30</f>
        <v>0</v>
      </c>
      <c r="M31" s="35">
        <f t="shared" si="0"/>
        <v>33.141216678248128</v>
      </c>
    </row>
    <row r="32" spans="1:13" x14ac:dyDescent="0.25">
      <c r="A32" s="29">
        <v>25</v>
      </c>
      <c r="B32" s="71" t="s">
        <v>37</v>
      </c>
      <c r="C32" s="29">
        <v>118</v>
      </c>
      <c r="D32" s="55">
        <v>38</v>
      </c>
      <c r="E32" s="143">
        <f t="shared" si="1"/>
        <v>10547.93953</v>
      </c>
      <c r="F32" s="156">
        <v>3429.7715600000001</v>
      </c>
      <c r="G32" s="73">
        <v>0</v>
      </c>
      <c r="H32" s="157">
        <v>6749.72732</v>
      </c>
      <c r="I32" s="56">
        <v>0</v>
      </c>
      <c r="J32" s="73">
        <v>368.44065000000001</v>
      </c>
      <c r="K32" s="73">
        <v>5166.0366199999999</v>
      </c>
      <c r="L32" s="59">
        <f>K32-'[2]Форма 2 '!$E$31</f>
        <v>0</v>
      </c>
      <c r="M32" s="35">
        <f t="shared" si="0"/>
        <v>51.023262834348081</v>
      </c>
    </row>
    <row r="33" spans="1:13" x14ac:dyDescent="0.25">
      <c r="A33" s="29">
        <v>26</v>
      </c>
      <c r="B33" s="71" t="s">
        <v>38</v>
      </c>
      <c r="C33" s="29">
        <v>55</v>
      </c>
      <c r="D33" s="55">
        <v>174</v>
      </c>
      <c r="E33" s="143">
        <f t="shared" si="1"/>
        <v>24324.127819999998</v>
      </c>
      <c r="F33" s="156">
        <v>11463.45659</v>
      </c>
      <c r="G33" s="73">
        <v>0</v>
      </c>
      <c r="H33" s="157">
        <v>11450.58482</v>
      </c>
      <c r="I33" s="56">
        <v>0</v>
      </c>
      <c r="J33" s="73">
        <v>1410.0864099999999</v>
      </c>
      <c r="K33" s="73">
        <v>14619.523210000001</v>
      </c>
      <c r="L33" s="59">
        <f>K33-'[2]Форма 2 '!$E$32</f>
        <v>0</v>
      </c>
      <c r="M33" s="35">
        <f t="shared" si="0"/>
        <v>39.897030149712464</v>
      </c>
    </row>
    <row r="34" spans="1:13" x14ac:dyDescent="0.25">
      <c r="A34" s="29">
        <v>27</v>
      </c>
      <c r="B34" s="71" t="s">
        <v>39</v>
      </c>
      <c r="C34" s="29">
        <v>101</v>
      </c>
      <c r="D34" s="55">
        <v>60</v>
      </c>
      <c r="E34" s="143">
        <f t="shared" si="1"/>
        <v>7228.1690099999996</v>
      </c>
      <c r="F34" s="156">
        <v>4879.3196699999999</v>
      </c>
      <c r="G34" s="73">
        <v>0</v>
      </c>
      <c r="H34" s="157">
        <v>1614.5989999999999</v>
      </c>
      <c r="I34" s="56">
        <v>0</v>
      </c>
      <c r="J34" s="73">
        <v>734.25034000000005</v>
      </c>
      <c r="K34" s="73">
        <v>7163.716910000001</v>
      </c>
      <c r="L34" s="59">
        <f>K34-'[2]Форма 2 '!$E$33</f>
        <v>0</v>
      </c>
      <c r="M34" s="35">
        <f>(E34-K34)/E34*100</f>
        <v>0.89167948218740689</v>
      </c>
    </row>
    <row r="35" spans="1:13" x14ac:dyDescent="0.25">
      <c r="A35" s="29">
        <v>28</v>
      </c>
      <c r="B35" s="71" t="s">
        <v>40</v>
      </c>
      <c r="C35" s="29">
        <v>140</v>
      </c>
      <c r="D35" s="55">
        <v>140</v>
      </c>
      <c r="E35" s="143">
        <f t="shared" si="1"/>
        <v>21500.93679</v>
      </c>
      <c r="F35" s="156">
        <v>6368.2166200000001</v>
      </c>
      <c r="G35" s="73">
        <v>0</v>
      </c>
      <c r="H35" s="157">
        <v>13832.066279999999</v>
      </c>
      <c r="I35" s="56">
        <v>0</v>
      </c>
      <c r="J35" s="73">
        <v>1300.65389</v>
      </c>
      <c r="K35" s="73">
        <v>9084.2758999999987</v>
      </c>
      <c r="L35" s="59">
        <f>K35-'[2]Форма 2 '!$E$34</f>
        <v>0</v>
      </c>
      <c r="M35" s="35">
        <f t="shared" si="0"/>
        <v>57.749394881133462</v>
      </c>
    </row>
    <row r="36" spans="1:13" ht="30" x14ac:dyDescent="0.25">
      <c r="A36" s="29">
        <v>29</v>
      </c>
      <c r="B36" s="71" t="s">
        <v>41</v>
      </c>
      <c r="C36" s="29">
        <v>107</v>
      </c>
      <c r="D36" s="55">
        <v>139</v>
      </c>
      <c r="E36" s="143">
        <f t="shared" si="1"/>
        <v>12309.464360000002</v>
      </c>
      <c r="F36" s="156">
        <v>8713.2455100000006</v>
      </c>
      <c r="G36" s="73">
        <v>0</v>
      </c>
      <c r="H36" s="157">
        <v>2156.6491099999998</v>
      </c>
      <c r="I36" s="56">
        <v>0</v>
      </c>
      <c r="J36" s="73">
        <f>1438.62374+0.946</f>
        <v>1439.5697399999999</v>
      </c>
      <c r="K36" s="73">
        <v>12972.313529999999</v>
      </c>
      <c r="L36" s="59">
        <f>K36-'[2]Форма 2 '!$E$35</f>
        <v>0</v>
      </c>
      <c r="M36" s="35">
        <f t="shared" si="0"/>
        <v>-5.3848741961018813</v>
      </c>
    </row>
    <row r="37" spans="1:13" ht="30" x14ac:dyDescent="0.25">
      <c r="A37" s="29">
        <v>30</v>
      </c>
      <c r="B37" s="71" t="s">
        <v>42</v>
      </c>
      <c r="C37" s="29">
        <f>54+20</f>
        <v>74</v>
      </c>
      <c r="D37" s="55">
        <v>114</v>
      </c>
      <c r="E37" s="143">
        <f t="shared" si="1"/>
        <v>11481.23547</v>
      </c>
      <c r="F37" s="156">
        <v>7607.0404399999998</v>
      </c>
      <c r="G37" s="73">
        <v>0</v>
      </c>
      <c r="H37" s="157">
        <v>2364.6924199999999</v>
      </c>
      <c r="I37" s="56">
        <v>0</v>
      </c>
      <c r="J37" s="73">
        <v>1509.50261</v>
      </c>
      <c r="K37" s="73">
        <v>9282.7484600000007</v>
      </c>
      <c r="L37" s="59">
        <f>K37-'[2]Форма 2 '!$E$36</f>
        <v>0</v>
      </c>
      <c r="M37" s="35">
        <f t="shared" si="0"/>
        <v>19.148522959437216</v>
      </c>
    </row>
    <row r="38" spans="1:13" x14ac:dyDescent="0.25">
      <c r="A38" s="29">
        <v>31</v>
      </c>
      <c r="B38" s="71" t="s">
        <v>43</v>
      </c>
      <c r="C38" s="29">
        <f>194+74</f>
        <v>268</v>
      </c>
      <c r="D38" s="55">
        <v>66</v>
      </c>
      <c r="E38" s="143">
        <f t="shared" si="1"/>
        <v>9212.0950000000012</v>
      </c>
      <c r="F38" s="156">
        <v>6896.0431799999997</v>
      </c>
      <c r="G38" s="73">
        <v>0</v>
      </c>
      <c r="H38" s="157">
        <v>2200.1009600000002</v>
      </c>
      <c r="I38" s="56">
        <v>0</v>
      </c>
      <c r="J38" s="73">
        <v>115.95086000000001</v>
      </c>
      <c r="K38" s="73">
        <v>9339.4261499999993</v>
      </c>
      <c r="L38" s="59">
        <f>K38-'[2]Форма 2 '!$E$37</f>
        <v>0</v>
      </c>
      <c r="M38" s="35">
        <f t="shared" si="0"/>
        <v>-1.3822170744005369</v>
      </c>
    </row>
    <row r="39" spans="1:13" x14ac:dyDescent="0.25">
      <c r="A39" s="29">
        <v>32</v>
      </c>
      <c r="B39" s="71" t="s">
        <v>44</v>
      </c>
      <c r="C39" s="29">
        <f>113</f>
        <v>113</v>
      </c>
      <c r="D39" s="55">
        <v>306</v>
      </c>
      <c r="E39" s="143">
        <f t="shared" si="1"/>
        <v>25942.102489999997</v>
      </c>
      <c r="F39" s="156">
        <v>20967.297159999998</v>
      </c>
      <c r="G39" s="73">
        <v>0</v>
      </c>
      <c r="H39" s="157">
        <v>4085.7452199999998</v>
      </c>
      <c r="I39" s="56">
        <v>0</v>
      </c>
      <c r="J39" s="73">
        <v>889.06011000000001</v>
      </c>
      <c r="K39" s="73">
        <v>32348.412510000006</v>
      </c>
      <c r="L39" s="59">
        <f>K39-'[2]Форма 2 '!$E$38</f>
        <v>0</v>
      </c>
      <c r="M39" s="35">
        <f>(E39-K39)/E39*100</f>
        <v>-24.694644632097468</v>
      </c>
    </row>
    <row r="40" spans="1:13" x14ac:dyDescent="0.25">
      <c r="A40" s="29">
        <v>33</v>
      </c>
      <c r="B40" s="71" t="s">
        <v>45</v>
      </c>
      <c r="C40" s="29">
        <f>70+18</f>
        <v>88</v>
      </c>
      <c r="D40" s="55">
        <v>182</v>
      </c>
      <c r="E40" s="143">
        <f t="shared" si="1"/>
        <v>14832.820379999999</v>
      </c>
      <c r="F40" s="156">
        <v>12480.60317</v>
      </c>
      <c r="G40" s="73">
        <v>0</v>
      </c>
      <c r="H40" s="157">
        <v>1920.2973199999999</v>
      </c>
      <c r="I40" s="56">
        <v>0</v>
      </c>
      <c r="J40" s="73">
        <v>431.91989000000001</v>
      </c>
      <c r="K40" s="73">
        <v>11085.374969999999</v>
      </c>
      <c r="L40" s="59">
        <f>K40-'[2]Форма 2 '!$E$39</f>
        <v>0</v>
      </c>
      <c r="M40" s="35">
        <f t="shared" si="0"/>
        <v>25.264550597895131</v>
      </c>
    </row>
    <row r="41" spans="1:13" ht="30" x14ac:dyDescent="0.25">
      <c r="A41" s="29">
        <v>34</v>
      </c>
      <c r="B41" s="71" t="s">
        <v>46</v>
      </c>
      <c r="C41" s="29">
        <v>241</v>
      </c>
      <c r="D41" s="55">
        <v>111</v>
      </c>
      <c r="E41" s="143">
        <f t="shared" si="1"/>
        <v>10034.228279999999</v>
      </c>
      <c r="F41" s="156">
        <v>7565.0579600000001</v>
      </c>
      <c r="G41" s="73">
        <v>0</v>
      </c>
      <c r="H41" s="157">
        <v>2286.1903900000002</v>
      </c>
      <c r="I41" s="56">
        <v>0</v>
      </c>
      <c r="J41" s="73">
        <v>182.97993</v>
      </c>
      <c r="K41" s="73">
        <v>9827.9360900000011</v>
      </c>
      <c r="L41" s="59">
        <f>K41-'[2]Форма 2 '!$E$40</f>
        <v>0</v>
      </c>
      <c r="M41" s="35">
        <f t="shared" si="0"/>
        <v>2.0558849593961832</v>
      </c>
    </row>
    <row r="42" spans="1:13" ht="30" x14ac:dyDescent="0.25">
      <c r="A42" s="29">
        <v>35</v>
      </c>
      <c r="B42" s="28" t="s">
        <v>47</v>
      </c>
      <c r="C42" s="29">
        <f>437+45</f>
        <v>482</v>
      </c>
      <c r="D42" s="55">
        <v>448</v>
      </c>
      <c r="E42" s="143">
        <f t="shared" si="1"/>
        <v>29684.963</v>
      </c>
      <c r="F42" s="156">
        <v>22037.030289999999</v>
      </c>
      <c r="G42" s="73">
        <v>0</v>
      </c>
      <c r="H42" s="157">
        <v>7336.6455500000002</v>
      </c>
      <c r="I42" s="56">
        <v>0</v>
      </c>
      <c r="J42" s="73">
        <v>311.28715999999997</v>
      </c>
      <c r="K42" s="73">
        <v>28358.883439999998</v>
      </c>
      <c r="L42" s="59">
        <f>K42-'[2]Форма 2 '!$E$42</f>
        <v>0</v>
      </c>
      <c r="M42" s="35">
        <f t="shared" si="0"/>
        <v>4.4671760581274835</v>
      </c>
    </row>
    <row r="43" spans="1:13" x14ac:dyDescent="0.25">
      <c r="A43" s="29">
        <v>36</v>
      </c>
      <c r="B43" s="28" t="s">
        <v>48</v>
      </c>
      <c r="C43" s="29">
        <f>161</f>
        <v>161</v>
      </c>
      <c r="D43" s="55">
        <v>156</v>
      </c>
      <c r="E43" s="143">
        <f t="shared" si="1"/>
        <v>13544.83094</v>
      </c>
      <c r="F43" s="156">
        <v>10622.70881</v>
      </c>
      <c r="G43" s="73">
        <v>0</v>
      </c>
      <c r="H43" s="157">
        <v>2922.1221300000002</v>
      </c>
      <c r="I43" s="56">
        <v>0</v>
      </c>
      <c r="J43" s="73">
        <v>0</v>
      </c>
      <c r="K43" s="73">
        <v>13292.545779999999</v>
      </c>
      <c r="L43" s="59">
        <f>K43-'[2]Форма 2 '!$E$43</f>
        <v>0</v>
      </c>
      <c r="M43" s="35">
        <f t="shared" si="0"/>
        <v>1.8625936426785794</v>
      </c>
    </row>
    <row r="44" spans="1:13" x14ac:dyDescent="0.25">
      <c r="A44" s="29">
        <v>37</v>
      </c>
      <c r="B44" s="28" t="s">
        <v>49</v>
      </c>
      <c r="C44" s="29">
        <f>757+51</f>
        <v>808</v>
      </c>
      <c r="D44" s="55">
        <v>901</v>
      </c>
      <c r="E44" s="143">
        <f t="shared" si="1"/>
        <v>56619.243929999997</v>
      </c>
      <c r="F44" s="156">
        <v>42846.346460000001</v>
      </c>
      <c r="G44" s="73">
        <v>0</v>
      </c>
      <c r="H44" s="157">
        <v>13722.759669999999</v>
      </c>
      <c r="I44" s="56">
        <v>0</v>
      </c>
      <c r="J44" s="73">
        <v>50.137799999999999</v>
      </c>
      <c r="K44" s="73">
        <v>52303.504809999999</v>
      </c>
      <c r="L44" s="59">
        <f>K44-'[2]Форма 2 '!$E$44</f>
        <v>0</v>
      </c>
      <c r="M44" s="35">
        <f t="shared" si="0"/>
        <v>7.6223891744928123</v>
      </c>
    </row>
    <row r="45" spans="1:13" x14ac:dyDescent="0.25">
      <c r="A45" s="29">
        <v>38</v>
      </c>
      <c r="B45" s="28" t="s">
        <v>50</v>
      </c>
      <c r="C45" s="29">
        <f>287</f>
        <v>287</v>
      </c>
      <c r="D45" s="55">
        <v>301</v>
      </c>
      <c r="E45" s="143">
        <f t="shared" si="1"/>
        <v>36923.426489999998</v>
      </c>
      <c r="F45" s="156">
        <v>24694.675340000002</v>
      </c>
      <c r="G45" s="73">
        <v>0</v>
      </c>
      <c r="H45" s="157">
        <v>12228.75115</v>
      </c>
      <c r="I45" s="56">
        <v>0</v>
      </c>
      <c r="J45" s="73">
        <v>0</v>
      </c>
      <c r="K45" s="73">
        <v>27608.245550000007</v>
      </c>
      <c r="L45" s="59">
        <f>K45-'[2]Форма 2 '!$E$45</f>
        <v>0</v>
      </c>
      <c r="M45" s="35">
        <f t="shared" si="0"/>
        <v>25.228376197758433</v>
      </c>
    </row>
    <row r="46" spans="1:13" x14ac:dyDescent="0.25">
      <c r="A46" s="29">
        <v>39</v>
      </c>
      <c r="B46" s="28" t="s">
        <v>51</v>
      </c>
      <c r="C46" s="29">
        <f>377+33</f>
        <v>410</v>
      </c>
      <c r="D46" s="55">
        <v>441</v>
      </c>
      <c r="E46" s="143">
        <f t="shared" si="1"/>
        <v>34720.109989999997</v>
      </c>
      <c r="F46" s="156">
        <v>26566.94788</v>
      </c>
      <c r="G46" s="73">
        <v>0</v>
      </c>
      <c r="H46" s="157">
        <v>8153.1621100000002</v>
      </c>
      <c r="I46" s="56">
        <v>0</v>
      </c>
      <c r="J46" s="73">
        <v>0</v>
      </c>
      <c r="K46" s="73">
        <v>33673.499539999997</v>
      </c>
      <c r="L46" s="59">
        <f>K46-'[2]Форма 2 '!$E$46</f>
        <v>0</v>
      </c>
      <c r="M46" s="35">
        <f t="shared" si="0"/>
        <v>3.0144214701550265</v>
      </c>
    </row>
    <row r="47" spans="1:13" x14ac:dyDescent="0.25">
      <c r="A47" s="29">
        <v>40</v>
      </c>
      <c r="B47" s="28" t="s">
        <v>52</v>
      </c>
      <c r="C47" s="29">
        <f>251</f>
        <v>251</v>
      </c>
      <c r="D47" s="55">
        <v>307</v>
      </c>
      <c r="E47" s="143">
        <f t="shared" si="1"/>
        <v>23397.337480000002</v>
      </c>
      <c r="F47" s="156">
        <v>19121.495770000001</v>
      </c>
      <c r="G47" s="73">
        <v>0</v>
      </c>
      <c r="H47" s="157">
        <v>4270.0498600000001</v>
      </c>
      <c r="I47" s="56">
        <v>0</v>
      </c>
      <c r="J47" s="73">
        <v>5.7918500000000002</v>
      </c>
      <c r="K47" s="73">
        <v>20767.397549999994</v>
      </c>
      <c r="L47" s="59">
        <f>K47-'[2]Форма 2 '!$E$47</f>
        <v>0</v>
      </c>
      <c r="M47" s="35">
        <f t="shared" si="0"/>
        <v>11.240338488291991</v>
      </c>
    </row>
    <row r="48" spans="1:13" x14ac:dyDescent="0.25">
      <c r="A48" s="29">
        <v>41</v>
      </c>
      <c r="B48" s="28" t="s">
        <v>53</v>
      </c>
      <c r="C48" s="29">
        <f>126+46</f>
        <v>172</v>
      </c>
      <c r="D48" s="55">
        <v>205</v>
      </c>
      <c r="E48" s="143">
        <f t="shared" si="1"/>
        <v>17432.04448</v>
      </c>
      <c r="F48" s="156">
        <v>14129.90258</v>
      </c>
      <c r="G48" s="73">
        <v>0</v>
      </c>
      <c r="H48" s="157">
        <v>2767.2762899999998</v>
      </c>
      <c r="I48" s="56">
        <v>0</v>
      </c>
      <c r="J48" s="73">
        <v>534.86560999999995</v>
      </c>
      <c r="K48" s="73">
        <v>14935.94282</v>
      </c>
      <c r="L48" s="59">
        <f>K48-'[2]Форма 2 '!$E$48</f>
        <v>0</v>
      </c>
      <c r="M48" s="35">
        <f t="shared" si="0"/>
        <v>14.319041365823775</v>
      </c>
    </row>
    <row r="49" spans="1:13" x14ac:dyDescent="0.25">
      <c r="A49" s="29">
        <v>42</v>
      </c>
      <c r="B49" s="28" t="s">
        <v>54</v>
      </c>
      <c r="C49" s="29">
        <f>137+55</f>
        <v>192</v>
      </c>
      <c r="D49" s="55">
        <v>213</v>
      </c>
      <c r="E49" s="143">
        <f t="shared" si="1"/>
        <v>25934.47047</v>
      </c>
      <c r="F49" s="156">
        <v>18102.926090000001</v>
      </c>
      <c r="G49" s="73">
        <v>0</v>
      </c>
      <c r="H49" s="157">
        <v>7400.9773800000003</v>
      </c>
      <c r="I49" s="56">
        <v>0</v>
      </c>
      <c r="J49" s="73">
        <v>430.56700000000001</v>
      </c>
      <c r="K49" s="73">
        <v>18992.113170000001</v>
      </c>
      <c r="L49" s="59">
        <f>K49-'[2]Форма 2 '!$E$49</f>
        <v>0</v>
      </c>
      <c r="M49" s="35">
        <f t="shared" si="0"/>
        <v>26.768841523217731</v>
      </c>
    </row>
    <row r="50" spans="1:13" x14ac:dyDescent="0.25">
      <c r="A50" s="29">
        <v>43</v>
      </c>
      <c r="B50" s="28" t="s">
        <v>55</v>
      </c>
      <c r="C50" s="29">
        <f>111+40</f>
        <v>151</v>
      </c>
      <c r="D50" s="55">
        <v>175</v>
      </c>
      <c r="E50" s="143">
        <f t="shared" si="1"/>
        <v>30063.42758</v>
      </c>
      <c r="F50" s="156">
        <v>10629.582259999999</v>
      </c>
      <c r="G50" s="73">
        <v>0</v>
      </c>
      <c r="H50" s="157">
        <v>19084.740949999999</v>
      </c>
      <c r="I50" s="56">
        <v>0</v>
      </c>
      <c r="J50" s="73">
        <v>349.10437000000002</v>
      </c>
      <c r="K50" s="73">
        <v>14041.266319999997</v>
      </c>
      <c r="L50" s="59">
        <f>K50-'[2]Форма 2 '!$E$50</f>
        <v>0</v>
      </c>
      <c r="M50" s="35">
        <f t="shared" si="0"/>
        <v>53.294526106061532</v>
      </c>
    </row>
    <row r="51" spans="1:13" x14ac:dyDescent="0.25">
      <c r="A51" s="29">
        <v>44</v>
      </c>
      <c r="B51" s="28" t="s">
        <v>56</v>
      </c>
      <c r="C51" s="29">
        <f>176</f>
        <v>176</v>
      </c>
      <c r="D51" s="55">
        <v>218</v>
      </c>
      <c r="E51" s="143">
        <f t="shared" si="1"/>
        <v>15679.378710000001</v>
      </c>
      <c r="F51" s="156">
        <v>13223.74259</v>
      </c>
      <c r="G51" s="73">
        <v>0</v>
      </c>
      <c r="H51" s="157">
        <v>2455.6361200000001</v>
      </c>
      <c r="I51" s="56">
        <v>0</v>
      </c>
      <c r="J51" s="73">
        <v>0</v>
      </c>
      <c r="K51" s="73">
        <v>15909.590840000003</v>
      </c>
      <c r="L51" s="59">
        <f>K51-'[2]Форма 2 '!$E$51</f>
        <v>0</v>
      </c>
      <c r="M51" s="35">
        <f t="shared" si="0"/>
        <v>-1.4682477811010262</v>
      </c>
    </row>
    <row r="52" spans="1:13" x14ac:dyDescent="0.25">
      <c r="A52" s="29">
        <v>45</v>
      </c>
      <c r="B52" s="28" t="s">
        <v>57</v>
      </c>
      <c r="C52" s="29">
        <f>183+21</f>
        <v>204</v>
      </c>
      <c r="D52" s="55">
        <v>214</v>
      </c>
      <c r="E52" s="143">
        <f t="shared" si="1"/>
        <v>16537.446459999999</v>
      </c>
      <c r="F52" s="156">
        <v>14219.85109</v>
      </c>
      <c r="G52" s="73">
        <v>0</v>
      </c>
      <c r="H52" s="157">
        <v>2312.9958999999999</v>
      </c>
      <c r="I52" s="56">
        <v>0</v>
      </c>
      <c r="J52" s="73">
        <v>4.5994700000000002</v>
      </c>
      <c r="K52" s="73">
        <v>16784.189249999999</v>
      </c>
      <c r="L52" s="59">
        <f>K52-'[2]Форма 2 '!$E$52</f>
        <v>0</v>
      </c>
      <c r="M52" s="35">
        <f t="shared" si="0"/>
        <v>-1.4920247245958445</v>
      </c>
    </row>
    <row r="53" spans="1:13" x14ac:dyDescent="0.25">
      <c r="A53" s="29">
        <v>46</v>
      </c>
      <c r="B53" s="28" t="s">
        <v>58</v>
      </c>
      <c r="C53" s="29">
        <f>86+26</f>
        <v>112</v>
      </c>
      <c r="D53" s="55">
        <v>105</v>
      </c>
      <c r="E53" s="143">
        <f t="shared" si="1"/>
        <v>14451.370420000001</v>
      </c>
      <c r="F53" s="156">
        <v>10623.179749999999</v>
      </c>
      <c r="G53" s="73"/>
      <c r="H53" s="157">
        <v>3652.95748</v>
      </c>
      <c r="I53" s="56"/>
      <c r="J53" s="73">
        <v>175.23319000000001</v>
      </c>
      <c r="K53" s="73">
        <v>12949.273870000001</v>
      </c>
      <c r="L53" s="59">
        <f>K53-'[2]Форма 2 '!$E$53</f>
        <v>0</v>
      </c>
      <c r="M53" s="35">
        <f>(E53-K53)/E53*100</f>
        <v>10.394146066044858</v>
      </c>
    </row>
    <row r="54" spans="1:13" x14ac:dyDescent="0.25">
      <c r="A54" s="29">
        <v>47</v>
      </c>
      <c r="B54" s="28" t="s">
        <v>59</v>
      </c>
      <c r="C54" s="29">
        <f>179</f>
        <v>179</v>
      </c>
      <c r="D54" s="55">
        <v>196</v>
      </c>
      <c r="E54" s="143">
        <f t="shared" si="1"/>
        <v>17290.29882</v>
      </c>
      <c r="F54" s="156">
        <v>12605.43678</v>
      </c>
      <c r="G54" s="73">
        <v>0</v>
      </c>
      <c r="H54" s="157">
        <v>4684.36204</v>
      </c>
      <c r="I54" s="56">
        <v>0</v>
      </c>
      <c r="J54" s="73">
        <v>0.5</v>
      </c>
      <c r="K54" s="73">
        <v>16013.492189999999</v>
      </c>
      <c r="L54" s="59">
        <f>K54-'[2]Форма 2 '!$E$54</f>
        <v>0</v>
      </c>
      <c r="M54" s="35">
        <f t="shared" si="0"/>
        <v>7.3845261050265707</v>
      </c>
    </row>
    <row r="55" spans="1:13" x14ac:dyDescent="0.25">
      <c r="A55" s="29">
        <v>48</v>
      </c>
      <c r="B55" s="28" t="s">
        <v>60</v>
      </c>
      <c r="C55" s="29">
        <f>63</f>
        <v>63</v>
      </c>
      <c r="D55" s="55">
        <v>71</v>
      </c>
      <c r="E55" s="143">
        <f t="shared" si="1"/>
        <v>16878.451719999997</v>
      </c>
      <c r="F55" s="156">
        <v>7433.0441499999997</v>
      </c>
      <c r="G55" s="73">
        <v>0</v>
      </c>
      <c r="H55" s="157">
        <v>9445.4075699999994</v>
      </c>
      <c r="I55" s="56">
        <v>0</v>
      </c>
      <c r="J55" s="73">
        <v>0</v>
      </c>
      <c r="K55" s="73">
        <v>8702.5116899999994</v>
      </c>
      <c r="L55" s="59">
        <f>K55-'[2]Форма 2 '!$E$55</f>
        <v>0</v>
      </c>
      <c r="M55" s="35">
        <f t="shared" si="0"/>
        <v>48.440106744577633</v>
      </c>
    </row>
    <row r="56" spans="1:13" x14ac:dyDescent="0.25">
      <c r="A56" s="29">
        <v>49</v>
      </c>
      <c r="B56" s="28" t="s">
        <v>61</v>
      </c>
      <c r="C56" s="29">
        <f>86+34</f>
        <v>120</v>
      </c>
      <c r="D56" s="55">
        <f>86+34</f>
        <v>120</v>
      </c>
      <c r="E56" s="143">
        <f t="shared" si="1"/>
        <v>12789.37968</v>
      </c>
      <c r="F56" s="156">
        <v>9753.3123500000002</v>
      </c>
      <c r="G56" s="73">
        <v>0</v>
      </c>
      <c r="H56" s="157">
        <v>2748.7817599999998</v>
      </c>
      <c r="I56" s="56">
        <v>0</v>
      </c>
      <c r="J56" s="73">
        <v>287.28557000000001</v>
      </c>
      <c r="K56" s="73">
        <v>12388.33433</v>
      </c>
      <c r="L56" s="59">
        <f>K56-'[2]Форма 2 '!$E$56</f>
        <v>0</v>
      </c>
      <c r="M56" s="35">
        <f t="shared" si="0"/>
        <v>3.1357685832656452</v>
      </c>
    </row>
    <row r="57" spans="1:13" x14ac:dyDescent="0.25">
      <c r="A57" s="29">
        <v>50</v>
      </c>
      <c r="B57" s="28" t="s">
        <v>62</v>
      </c>
      <c r="C57" s="29">
        <f>227</f>
        <v>227</v>
      </c>
      <c r="D57" s="55">
        <v>220</v>
      </c>
      <c r="E57" s="143">
        <f t="shared" si="1"/>
        <v>18728.395329999999</v>
      </c>
      <c r="F57" s="156">
        <v>15140.35169</v>
      </c>
      <c r="G57" s="73">
        <v>0</v>
      </c>
      <c r="H57" s="157">
        <v>3587.5323600000002</v>
      </c>
      <c r="I57" s="56">
        <v>0</v>
      </c>
      <c r="J57" s="73">
        <v>0.51127999999999996</v>
      </c>
      <c r="K57" s="73">
        <v>17870.40465</v>
      </c>
      <c r="L57" s="59">
        <f>K57-'[2]Форма 2 '!$E$57</f>
        <v>0</v>
      </c>
      <c r="M57" s="35">
        <f t="shared" si="0"/>
        <v>4.5812290101844999</v>
      </c>
    </row>
    <row r="58" spans="1:13" x14ac:dyDescent="0.25">
      <c r="A58" s="29">
        <v>51</v>
      </c>
      <c r="B58" s="28" t="s">
        <v>63</v>
      </c>
      <c r="C58" s="29">
        <f>83</f>
        <v>83</v>
      </c>
      <c r="D58" s="55">
        <v>120</v>
      </c>
      <c r="E58" s="143">
        <f t="shared" si="1"/>
        <v>18262.073639999999</v>
      </c>
      <c r="F58" s="156">
        <v>8384.0231700000004</v>
      </c>
      <c r="G58" s="73">
        <v>0</v>
      </c>
      <c r="H58" s="157">
        <v>9858.3707799999993</v>
      </c>
      <c r="I58" s="56">
        <v>0</v>
      </c>
      <c r="J58" s="73">
        <v>19.679690000000001</v>
      </c>
      <c r="K58" s="73">
        <v>10726.2891</v>
      </c>
      <c r="L58" s="59">
        <f>K58-'[2]Форма 2 '!$E$58</f>
        <v>0</v>
      </c>
      <c r="M58" s="35">
        <f t="shared" si="0"/>
        <v>41.264670642298427</v>
      </c>
    </row>
    <row r="59" spans="1:13" x14ac:dyDescent="0.25">
      <c r="A59" s="29">
        <v>52</v>
      </c>
      <c r="B59" s="28" t="s">
        <v>64</v>
      </c>
      <c r="C59" s="29">
        <f>182</f>
        <v>182</v>
      </c>
      <c r="D59" s="55">
        <v>222</v>
      </c>
      <c r="E59" s="143">
        <f t="shared" si="1"/>
        <v>17186.17556</v>
      </c>
      <c r="F59" s="156">
        <v>14310.23013</v>
      </c>
      <c r="G59" s="73">
        <v>0</v>
      </c>
      <c r="H59" s="157">
        <v>2875.9454300000002</v>
      </c>
      <c r="I59" s="56">
        <v>0</v>
      </c>
      <c r="J59" s="73">
        <v>0</v>
      </c>
      <c r="K59" s="73">
        <v>15898.517669999999</v>
      </c>
      <c r="L59" s="59">
        <f>K59-'[2]Форма 2 '!$E$59</f>
        <v>0</v>
      </c>
      <c r="M59" s="35">
        <f t="shared" si="0"/>
        <v>7.492405075838759</v>
      </c>
    </row>
    <row r="60" spans="1:13" x14ac:dyDescent="0.25">
      <c r="A60" s="29">
        <v>53</v>
      </c>
      <c r="B60" s="28" t="s">
        <v>65</v>
      </c>
      <c r="C60" s="29">
        <f>203+39</f>
        <v>242</v>
      </c>
      <c r="D60" s="55">
        <f>203+39</f>
        <v>242</v>
      </c>
      <c r="E60" s="143">
        <f t="shared" si="1"/>
        <v>19129.520639999999</v>
      </c>
      <c r="F60" s="156">
        <v>15844.31804</v>
      </c>
      <c r="G60" s="73">
        <v>0</v>
      </c>
      <c r="H60" s="157">
        <v>3285.2026000000001</v>
      </c>
      <c r="I60" s="56">
        <v>0</v>
      </c>
      <c r="J60" s="73">
        <v>0</v>
      </c>
      <c r="K60" s="73">
        <v>19097.616770000001</v>
      </c>
      <c r="L60" s="59">
        <f>K60-'[2]Форма 2 '!$E$60</f>
        <v>0</v>
      </c>
      <c r="M60" s="35">
        <f t="shared" si="0"/>
        <v>0.16677819899619961</v>
      </c>
    </row>
    <row r="61" spans="1:13" x14ac:dyDescent="0.25">
      <c r="A61" s="29">
        <v>54</v>
      </c>
      <c r="B61" s="28" t="s">
        <v>66</v>
      </c>
      <c r="C61" s="29">
        <f>130+48</f>
        <v>178</v>
      </c>
      <c r="D61" s="55">
        <v>191</v>
      </c>
      <c r="E61" s="143">
        <f t="shared" si="1"/>
        <v>20796.61738</v>
      </c>
      <c r="F61" s="156">
        <v>13388.7433</v>
      </c>
      <c r="G61" s="73">
        <v>0</v>
      </c>
      <c r="H61" s="157">
        <v>6952.0782900000004</v>
      </c>
      <c r="I61" s="56">
        <v>0</v>
      </c>
      <c r="J61" s="73">
        <v>455.79579000000001</v>
      </c>
      <c r="K61" s="73">
        <v>17166.591960000002</v>
      </c>
      <c r="L61" s="59">
        <f>K61-'[2]Форма 2 '!$E$61</f>
        <v>0</v>
      </c>
      <c r="M61" s="35">
        <f t="shared" si="0"/>
        <v>17.454883905740243</v>
      </c>
    </row>
    <row r="62" spans="1:13" x14ac:dyDescent="0.25">
      <c r="A62" s="29">
        <v>55</v>
      </c>
      <c r="B62" s="28" t="s">
        <v>67</v>
      </c>
      <c r="C62" s="29">
        <f>178</f>
        <v>178</v>
      </c>
      <c r="D62" s="55">
        <v>232</v>
      </c>
      <c r="E62" s="143">
        <f t="shared" si="1"/>
        <v>19009.813410000002</v>
      </c>
      <c r="F62" s="156">
        <v>15646.6185</v>
      </c>
      <c r="G62" s="73">
        <v>0</v>
      </c>
      <c r="H62" s="157">
        <v>3031.0992000000001</v>
      </c>
      <c r="I62" s="56">
        <v>0</v>
      </c>
      <c r="J62" s="73">
        <v>332.09571</v>
      </c>
      <c r="K62" s="73">
        <v>19440.522219999999</v>
      </c>
      <c r="L62" s="59">
        <f>K62-'[2]Форма 2 '!$E$62</f>
        <v>0</v>
      </c>
      <c r="M62" s="35">
        <f t="shared" si="0"/>
        <v>-2.2657182409450929</v>
      </c>
    </row>
    <row r="63" spans="1:13" x14ac:dyDescent="0.25">
      <c r="A63" s="29">
        <v>56</v>
      </c>
      <c r="B63" s="28" t="s">
        <v>68</v>
      </c>
      <c r="C63" s="29">
        <f>32+18</f>
        <v>50</v>
      </c>
      <c r="D63" s="55">
        <v>64</v>
      </c>
      <c r="E63" s="143">
        <f t="shared" si="1"/>
        <v>8426.9235700000008</v>
      </c>
      <c r="F63" s="156">
        <v>7011.4552800000001</v>
      </c>
      <c r="G63" s="73">
        <v>0</v>
      </c>
      <c r="H63" s="157">
        <v>1106.64832</v>
      </c>
      <c r="I63" s="56">
        <v>0</v>
      </c>
      <c r="J63" s="73">
        <v>308.81997000000001</v>
      </c>
      <c r="K63" s="73">
        <v>7848.6797599999991</v>
      </c>
      <c r="L63" s="59">
        <f>K63-'[2]Форма 2 '!$E$63</f>
        <v>0</v>
      </c>
      <c r="M63" s="35">
        <f t="shared" si="0"/>
        <v>6.861861332866007</v>
      </c>
    </row>
    <row r="64" spans="1:13" x14ac:dyDescent="0.25">
      <c r="A64" s="29">
        <v>57</v>
      </c>
      <c r="B64" s="28" t="s">
        <v>69</v>
      </c>
      <c r="C64" s="29">
        <f>74</f>
        <v>74</v>
      </c>
      <c r="D64" s="55">
        <v>89</v>
      </c>
      <c r="E64" s="143">
        <f t="shared" si="1"/>
        <v>15672.66275</v>
      </c>
      <c r="F64" s="156">
        <v>7983.77045</v>
      </c>
      <c r="G64" s="73">
        <v>0</v>
      </c>
      <c r="H64" s="157">
        <v>7651.0677699999997</v>
      </c>
      <c r="I64" s="56">
        <v>0</v>
      </c>
      <c r="J64" s="73">
        <v>37.824530000000003</v>
      </c>
      <c r="K64" s="73">
        <v>9349.8686500000003</v>
      </c>
      <c r="L64" s="59">
        <f>K64-'[2]Форма 2 '!$E$64</f>
        <v>0</v>
      </c>
      <c r="M64" s="35">
        <f t="shared" si="0"/>
        <v>40.342819856823624</v>
      </c>
    </row>
    <row r="65" spans="1:14" x14ac:dyDescent="0.25">
      <c r="A65" s="29">
        <v>58</v>
      </c>
      <c r="B65" s="28" t="s">
        <v>70</v>
      </c>
      <c r="C65" s="29">
        <v>605</v>
      </c>
      <c r="D65" s="55">
        <v>652</v>
      </c>
      <c r="E65" s="143">
        <f t="shared" si="1"/>
        <v>3564.8049500000002</v>
      </c>
      <c r="F65" s="156">
        <v>2284.8302800000001</v>
      </c>
      <c r="G65" s="73">
        <v>0</v>
      </c>
      <c r="H65" s="157">
        <v>1279.9746700000001</v>
      </c>
      <c r="I65" s="56">
        <v>0</v>
      </c>
      <c r="J65" s="73">
        <v>0</v>
      </c>
      <c r="K65" s="73">
        <v>3792.1472399999993</v>
      </c>
      <c r="L65" s="59">
        <f>K65-'[2]Форма 2 '!$E$65</f>
        <v>0</v>
      </c>
      <c r="M65" s="35">
        <f t="shared" si="0"/>
        <v>-6.3774117571285105</v>
      </c>
    </row>
    <row r="66" spans="1:14" x14ac:dyDescent="0.25">
      <c r="A66" s="29">
        <v>59</v>
      </c>
      <c r="B66" s="28" t="s">
        <v>71</v>
      </c>
      <c r="C66" s="29">
        <v>277</v>
      </c>
      <c r="D66" s="55">
        <v>445</v>
      </c>
      <c r="E66" s="143">
        <f t="shared" si="1"/>
        <v>4794.7790699999996</v>
      </c>
      <c r="F66" s="156">
        <v>2922.7291700000001</v>
      </c>
      <c r="G66" s="73">
        <v>0</v>
      </c>
      <c r="H66" s="157">
        <v>1830.6919499999999</v>
      </c>
      <c r="I66" s="56">
        <v>0</v>
      </c>
      <c r="J66" s="73">
        <v>41.357950000000002</v>
      </c>
      <c r="K66" s="73">
        <v>4718.6015299999999</v>
      </c>
      <c r="L66" s="59">
        <f>K66-'[2]Форма 2 '!$E$66</f>
        <v>0</v>
      </c>
      <c r="M66" s="35">
        <f t="shared" si="0"/>
        <v>1.5887601678381331</v>
      </c>
    </row>
    <row r="67" spans="1:14" x14ac:dyDescent="0.25">
      <c r="A67" s="29">
        <v>60</v>
      </c>
      <c r="B67" s="28" t="s">
        <v>72</v>
      </c>
      <c r="C67" s="29">
        <v>447</v>
      </c>
      <c r="D67" s="55">
        <v>496</v>
      </c>
      <c r="E67" s="143">
        <f t="shared" si="1"/>
        <v>5765.9302399999997</v>
      </c>
      <c r="F67" s="156">
        <v>3560.9367699999998</v>
      </c>
      <c r="G67" s="73">
        <v>0</v>
      </c>
      <c r="H67" s="157">
        <v>2204.9934699999999</v>
      </c>
      <c r="I67" s="56">
        <v>0</v>
      </c>
      <c r="J67" s="73">
        <v>0</v>
      </c>
      <c r="K67" s="73">
        <v>5197.6391699999995</v>
      </c>
      <c r="L67" s="59">
        <f>K67-'[2]Форма 2 '!$E$67</f>
        <v>0</v>
      </c>
      <c r="M67" s="35">
        <f t="shared" si="0"/>
        <v>9.8560170925689228</v>
      </c>
    </row>
    <row r="68" spans="1:14" x14ac:dyDescent="0.25">
      <c r="A68" s="29">
        <v>61</v>
      </c>
      <c r="B68" s="28" t="s">
        <v>73</v>
      </c>
      <c r="C68" s="29">
        <v>260</v>
      </c>
      <c r="D68" s="55">
        <v>299</v>
      </c>
      <c r="E68" s="143">
        <f>SUM(F68:J68)</f>
        <v>3778.21209</v>
      </c>
      <c r="F68" s="156">
        <v>2168.6840699999998</v>
      </c>
      <c r="G68" s="73">
        <v>0</v>
      </c>
      <c r="H68" s="157">
        <v>1609.52802</v>
      </c>
      <c r="I68" s="56">
        <v>0</v>
      </c>
      <c r="J68" s="73">
        <v>0</v>
      </c>
      <c r="K68" s="73">
        <v>2706.3121800000004</v>
      </c>
      <c r="L68" s="59">
        <f>K68-'[2]Форма 2 '!$E$68</f>
        <v>0</v>
      </c>
      <c r="M68" s="35">
        <f t="shared" si="0"/>
        <v>28.370559525682943</v>
      </c>
    </row>
    <row r="69" spans="1:14" x14ac:dyDescent="0.25">
      <c r="A69" s="29">
        <v>62</v>
      </c>
      <c r="B69" s="28" t="s">
        <v>74</v>
      </c>
      <c r="C69" s="29">
        <v>439</v>
      </c>
      <c r="D69" s="55">
        <v>694</v>
      </c>
      <c r="E69" s="143">
        <f t="shared" si="1"/>
        <v>4743.9111300000004</v>
      </c>
      <c r="F69" s="156">
        <v>3172.8845500000002</v>
      </c>
      <c r="G69" s="73">
        <v>0</v>
      </c>
      <c r="H69" s="157">
        <v>1565.02658</v>
      </c>
      <c r="I69" s="56">
        <v>0</v>
      </c>
      <c r="J69" s="73">
        <v>6</v>
      </c>
      <c r="K69" s="73">
        <v>4661.7932100000007</v>
      </c>
      <c r="L69" s="59">
        <f>K69-'[2]Форма 2 '!$E$69</f>
        <v>0</v>
      </c>
      <c r="M69" s="35">
        <f t="shared" si="0"/>
        <v>1.7310172503168222</v>
      </c>
    </row>
    <row r="70" spans="1:14" x14ac:dyDescent="0.25">
      <c r="A70" s="29">
        <v>63</v>
      </c>
      <c r="B70" s="28" t="s">
        <v>75</v>
      </c>
      <c r="C70" s="29">
        <v>282</v>
      </c>
      <c r="D70" s="55">
        <v>282</v>
      </c>
      <c r="E70" s="143">
        <f>SUM(F70:J70)</f>
        <v>1576.4810200000002</v>
      </c>
      <c r="F70" s="156">
        <v>1228.4632300000001</v>
      </c>
      <c r="G70" s="73">
        <v>0</v>
      </c>
      <c r="H70" s="157">
        <v>348.01778999999999</v>
      </c>
      <c r="I70" s="56">
        <v>0</v>
      </c>
      <c r="J70" s="73">
        <v>0</v>
      </c>
      <c r="K70" s="73">
        <v>1522.3876399999999</v>
      </c>
      <c r="L70" s="59">
        <f>K70-'[2]Форма 2 '!$E$70</f>
        <v>0</v>
      </c>
      <c r="M70" s="35">
        <f>(E70-K70)/E70*100</f>
        <v>3.4312737872353352</v>
      </c>
    </row>
    <row r="71" spans="1:14" x14ac:dyDescent="0.25">
      <c r="A71" s="29">
        <v>64</v>
      </c>
      <c r="B71" s="28" t="s">
        <v>76</v>
      </c>
      <c r="C71" s="29">
        <v>384</v>
      </c>
      <c r="D71" s="55">
        <v>490</v>
      </c>
      <c r="E71" s="143">
        <f>SUM(F71:J71)</f>
        <v>8723.8355800000008</v>
      </c>
      <c r="F71" s="156">
        <v>3941.1151</v>
      </c>
      <c r="G71" s="73">
        <v>0</v>
      </c>
      <c r="H71" s="157">
        <v>4356.7265500000003</v>
      </c>
      <c r="I71" s="56">
        <v>0</v>
      </c>
      <c r="J71" s="73">
        <v>425.99392999999998</v>
      </c>
      <c r="K71" s="73">
        <v>9446.4288799999995</v>
      </c>
      <c r="L71" s="59">
        <f>K71-'[2]Форма 2 '!$E$71</f>
        <v>0</v>
      </c>
      <c r="M71" s="35">
        <f>(E71-K71)/E71*100</f>
        <v>-8.2829770617937122</v>
      </c>
    </row>
    <row r="72" spans="1:14" x14ac:dyDescent="0.25">
      <c r="A72" s="29">
        <v>65</v>
      </c>
      <c r="B72" s="28" t="s">
        <v>77</v>
      </c>
      <c r="C72" s="29">
        <v>212</v>
      </c>
      <c r="D72" s="55">
        <v>234</v>
      </c>
      <c r="E72" s="143">
        <f>SUM(F72:J72)</f>
        <v>3530.9189999999999</v>
      </c>
      <c r="F72" s="156">
        <v>2101.7554399999999</v>
      </c>
      <c r="G72" s="73">
        <v>0</v>
      </c>
      <c r="H72" s="157">
        <v>1423.66356</v>
      </c>
      <c r="I72" s="56">
        <v>0</v>
      </c>
      <c r="J72" s="73">
        <v>5.5</v>
      </c>
      <c r="K72" s="73">
        <v>3564.7392200000004</v>
      </c>
      <c r="L72" s="59">
        <f>K72-'[2]Форма 2 '!$E$72</f>
        <v>0</v>
      </c>
      <c r="M72" s="35">
        <f>(E72-K72)/E72*100</f>
        <v>-0.95783052514091993</v>
      </c>
    </row>
    <row r="73" spans="1:14" x14ac:dyDescent="0.25">
      <c r="A73" s="29">
        <v>66</v>
      </c>
      <c r="B73" s="28" t="s">
        <v>78</v>
      </c>
      <c r="C73" s="29">
        <v>190</v>
      </c>
      <c r="D73" s="55">
        <v>238</v>
      </c>
      <c r="E73" s="143">
        <f>SUM(F73:J73)</f>
        <v>1858.6478299999999</v>
      </c>
      <c r="F73" s="156">
        <v>1262.68499</v>
      </c>
      <c r="G73" s="73">
        <v>0</v>
      </c>
      <c r="H73" s="157">
        <v>595.96284000000003</v>
      </c>
      <c r="I73" s="56">
        <v>0</v>
      </c>
      <c r="J73" s="73">
        <v>0</v>
      </c>
      <c r="K73" s="73">
        <v>1841.4876100000001</v>
      </c>
      <c r="L73" s="59">
        <f>K73-'[2]Форма 2 '!$E$73</f>
        <v>0</v>
      </c>
      <c r="M73" s="35">
        <f>(E73-K73)/E73*100</f>
        <v>0.92326366098088397</v>
      </c>
    </row>
    <row r="74" spans="1:14" ht="45" x14ac:dyDescent="0.25">
      <c r="A74" s="29">
        <v>67</v>
      </c>
      <c r="B74" s="43" t="s">
        <v>149</v>
      </c>
      <c r="C74" s="29">
        <v>98</v>
      </c>
      <c r="D74" s="75">
        <v>21964</v>
      </c>
      <c r="E74" s="143">
        <v>6426.0529999999999</v>
      </c>
      <c r="F74" s="139">
        <v>4390</v>
      </c>
      <c r="G74" s="141">
        <v>0</v>
      </c>
      <c r="H74" s="139">
        <v>1552.6</v>
      </c>
      <c r="I74" s="81">
        <v>483.45299999999997</v>
      </c>
      <c r="J74" s="141">
        <v>0</v>
      </c>
      <c r="K74" s="97">
        <v>5004.46</v>
      </c>
      <c r="L74" s="59">
        <f>K74-'[2]Форма 2 '!$E$74</f>
        <v>-4.999999964638846E-5</v>
      </c>
      <c r="M74" s="36">
        <f>(E80-K80)/E80*100</f>
        <v>5.9007764791352981</v>
      </c>
      <c r="N74" s="2" t="s">
        <v>159</v>
      </c>
    </row>
    <row r="75" spans="1:14" ht="45" x14ac:dyDescent="0.25">
      <c r="A75" s="29">
        <v>68</v>
      </c>
      <c r="B75" s="43" t="s">
        <v>144</v>
      </c>
      <c r="C75" s="29">
        <v>67</v>
      </c>
      <c r="D75" s="75">
        <v>176</v>
      </c>
      <c r="E75" s="143">
        <v>5001.1827800000001</v>
      </c>
      <c r="F75" s="139">
        <v>3618.47</v>
      </c>
      <c r="G75" s="141">
        <v>0</v>
      </c>
      <c r="H75" s="139">
        <v>1260</v>
      </c>
      <c r="I75" s="81">
        <v>98.182779999999994</v>
      </c>
      <c r="J75" s="141">
        <v>0</v>
      </c>
      <c r="K75" s="97">
        <v>4086</v>
      </c>
      <c r="L75" s="59">
        <f>K75-'[2]Форма 2 '!$E$75</f>
        <v>-7.1437900000000809</v>
      </c>
      <c r="N75" s="50">
        <v>4093.1437900000001</v>
      </c>
    </row>
    <row r="76" spans="1:14" ht="45" x14ac:dyDescent="0.25">
      <c r="A76" s="29">
        <v>69</v>
      </c>
      <c r="B76" s="43" t="s">
        <v>145</v>
      </c>
      <c r="C76" s="29">
        <v>100</v>
      </c>
      <c r="D76" s="75">
        <v>254</v>
      </c>
      <c r="E76" s="143">
        <v>6510.2889100000002</v>
      </c>
      <c r="F76" s="139">
        <v>4370</v>
      </c>
      <c r="G76" s="141">
        <v>0</v>
      </c>
      <c r="H76" s="139">
        <v>1866.8</v>
      </c>
      <c r="I76" s="81">
        <v>273.48890999999998</v>
      </c>
      <c r="J76" s="141">
        <v>0</v>
      </c>
      <c r="K76" s="97">
        <v>5579.17</v>
      </c>
      <c r="L76" s="59">
        <f>K76-'[2]Форма 2 '!$E$76</f>
        <v>-1.0729499999997643</v>
      </c>
      <c r="N76" s="50">
        <v>5580.2429499999998</v>
      </c>
    </row>
    <row r="77" spans="1:14" ht="45" x14ac:dyDescent="0.25">
      <c r="A77" s="29">
        <v>70</v>
      </c>
      <c r="B77" s="43" t="s">
        <v>146</v>
      </c>
      <c r="C77" s="29">
        <v>127</v>
      </c>
      <c r="D77" s="75">
        <v>261</v>
      </c>
      <c r="E77" s="143">
        <v>6940.85</v>
      </c>
      <c r="F77" s="139">
        <v>4499.7299999999996</v>
      </c>
      <c r="G77" s="141">
        <v>0</v>
      </c>
      <c r="H77" s="139">
        <v>2184.8000000000002</v>
      </c>
      <c r="I77" s="81">
        <v>252.05</v>
      </c>
      <c r="J77" s="141">
        <v>0</v>
      </c>
      <c r="K77" s="97">
        <v>6679.96</v>
      </c>
      <c r="L77" s="59">
        <f>K77-'[2]Форма 2 '!$E$77</f>
        <v>32.741079999999783</v>
      </c>
      <c r="N77" s="50">
        <v>6647.2189200000003</v>
      </c>
    </row>
    <row r="78" spans="1:14" ht="45" x14ac:dyDescent="0.25">
      <c r="A78" s="29">
        <v>71</v>
      </c>
      <c r="B78" s="43" t="s">
        <v>147</v>
      </c>
      <c r="C78" s="29">
        <v>157</v>
      </c>
      <c r="D78" s="75">
        <v>309</v>
      </c>
      <c r="E78" s="143">
        <v>9435.34</v>
      </c>
      <c r="F78" s="139">
        <v>6675.02</v>
      </c>
      <c r="G78" s="141">
        <v>0</v>
      </c>
      <c r="H78" s="139">
        <v>2424</v>
      </c>
      <c r="I78" s="81">
        <v>304.94</v>
      </c>
      <c r="J78" s="141">
        <v>30.4</v>
      </c>
      <c r="K78" s="97">
        <v>8178</v>
      </c>
      <c r="L78" s="59">
        <f>K78-'[2]Форма 2 '!$E$78</f>
        <v>-44.473860000000059</v>
      </c>
      <c r="N78" s="50">
        <v>8222.4738600000001</v>
      </c>
    </row>
    <row r="79" spans="1:14" x14ac:dyDescent="0.25">
      <c r="A79" s="29">
        <v>72</v>
      </c>
      <c r="B79" s="43" t="s">
        <v>148</v>
      </c>
      <c r="C79" s="29">
        <v>98</v>
      </c>
      <c r="D79" s="75">
        <v>117</v>
      </c>
      <c r="E79" s="143">
        <v>1466</v>
      </c>
      <c r="F79" s="139">
        <v>1466</v>
      </c>
      <c r="G79" s="141">
        <v>0</v>
      </c>
      <c r="H79" s="139">
        <v>0</v>
      </c>
      <c r="I79" s="81">
        <v>0</v>
      </c>
      <c r="J79" s="81">
        <v>0</v>
      </c>
      <c r="K79" s="97">
        <v>925</v>
      </c>
      <c r="L79" s="59">
        <f>K79-'[2]Форма 2 '!$E$79</f>
        <v>0</v>
      </c>
      <c r="N79" s="21"/>
    </row>
    <row r="80" spans="1:14" x14ac:dyDescent="0.25">
      <c r="A80" s="5"/>
      <c r="B80" s="5" t="s">
        <v>130</v>
      </c>
      <c r="C80" s="17">
        <f>SUM(C8:C73)</f>
        <v>13186</v>
      </c>
      <c r="D80" s="103">
        <f>SUM(D8:D79)</f>
        <v>38494</v>
      </c>
      <c r="E80" s="144">
        <f>SUM(E8:E79)</f>
        <v>1213579.9638099996</v>
      </c>
      <c r="F80" s="17">
        <f>SUM(F8:F79)</f>
        <v>802565.10359000007</v>
      </c>
      <c r="G80" s="17">
        <f t="shared" ref="G80:J80" si="2">SUM(G8:G79)</f>
        <v>12270.24037</v>
      </c>
      <c r="H80" s="17">
        <f t="shared" si="2"/>
        <v>354332.88597999996</v>
      </c>
      <c r="I80" s="42">
        <f t="shared" si="2"/>
        <v>1412.1146899999999</v>
      </c>
      <c r="J80" s="42">
        <f t="shared" si="2"/>
        <v>42969.839179999981</v>
      </c>
      <c r="K80" s="106">
        <f>SUM(K8:K79)</f>
        <v>1141969.3227500005</v>
      </c>
      <c r="L80" s="70"/>
    </row>
    <row r="81" spans="3:12" hidden="1" x14ac:dyDescent="0.25">
      <c r="D81" s="2">
        <v>23081</v>
      </c>
      <c r="E81" s="142">
        <v>35779.71</v>
      </c>
      <c r="F81" s="138">
        <v>25019.22</v>
      </c>
      <c r="G81" s="138">
        <v>0</v>
      </c>
      <c r="H81" s="138">
        <v>9288.2000000000007</v>
      </c>
      <c r="I81" s="2">
        <v>1412.11</v>
      </c>
      <c r="J81" s="2">
        <v>30.4</v>
      </c>
      <c r="K81" s="59">
        <v>30452.59</v>
      </c>
      <c r="L81" s="59"/>
    </row>
    <row r="82" spans="3:12" hidden="1" x14ac:dyDescent="0.25">
      <c r="D82" s="74">
        <f>15413+D81-D80</f>
        <v>0</v>
      </c>
      <c r="E82" s="145">
        <f>1177800.24912+E81-E80</f>
        <v>-4.6899996232241392E-3</v>
      </c>
      <c r="F82" s="138">
        <f>777545.88359+F81-F80</f>
        <v>0</v>
      </c>
      <c r="G82" s="138">
        <f>12270.24037+G81-G80</f>
        <v>0</v>
      </c>
      <c r="H82" s="138">
        <f>345044.68598+H81-H80</f>
        <v>0</v>
      </c>
      <c r="I82" s="37">
        <f>0+I81-I80</f>
        <v>-4.6899999999823194E-3</v>
      </c>
      <c r="J82" s="37">
        <f>42939.43918+J81-J80</f>
        <v>0</v>
      </c>
      <c r="K82" s="59">
        <f>1111516.73+K81-K80</f>
        <v>-2.7500004507601261E-3</v>
      </c>
      <c r="L82" s="59"/>
    </row>
    <row r="83" spans="3:12" hidden="1" x14ac:dyDescent="0.25">
      <c r="C83" s="37"/>
      <c r="K83" s="84" t="s">
        <v>162</v>
      </c>
    </row>
    <row r="84" spans="3:12" hidden="1" x14ac:dyDescent="0.25">
      <c r="G84" s="140"/>
      <c r="H84" s="140"/>
      <c r="I84" s="109"/>
      <c r="J84" s="108"/>
      <c r="K84" s="109" t="s">
        <v>163</v>
      </c>
    </row>
    <row r="85" spans="3:12" hidden="1" x14ac:dyDescent="0.25">
      <c r="J85" s="2" t="s">
        <v>164</v>
      </c>
      <c r="K85" s="110">
        <f>K80-1149309.78</f>
        <v>-7340.457249999512</v>
      </c>
    </row>
    <row r="86" spans="3:12" hidden="1" x14ac:dyDescent="0.25"/>
  </sheetData>
  <autoFilter ref="A4:K85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K5:K7"/>
    <mergeCell ref="E4:J4"/>
    <mergeCell ref="D2:H2"/>
    <mergeCell ref="A4:A7"/>
    <mergeCell ref="B4:B7"/>
    <mergeCell ref="C4:C7"/>
    <mergeCell ref="D4:D7"/>
    <mergeCell ref="E5:E7"/>
    <mergeCell ref="F5:J6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1"/>
  <sheetViews>
    <sheetView zoomScaleNormal="100" workbookViewId="0">
      <pane xSplit="1" ySplit="6" topLeftCell="B28" activePane="bottomRight" state="frozen"/>
      <selection pane="topRight" activeCell="B1" sqref="B1"/>
      <selection pane="bottomLeft" activeCell="A8" sqref="A8"/>
      <selection pane="bottomRight" activeCell="G83" sqref="G83"/>
    </sheetView>
  </sheetViews>
  <sheetFormatPr defaultColWidth="9.140625" defaultRowHeight="15" x14ac:dyDescent="0.25"/>
  <cols>
    <col min="1" max="1" width="5.7109375" style="2" customWidth="1"/>
    <col min="2" max="2" width="43.7109375" style="2" customWidth="1"/>
    <col min="3" max="3" width="14.42578125" style="51" customWidth="1"/>
    <col min="4" max="4" width="17" style="138" customWidth="1"/>
    <col min="5" max="5" width="16.5703125" style="138" customWidth="1"/>
    <col min="6" max="6" width="17.7109375" style="142" customWidth="1"/>
    <col min="7" max="7" width="14.85546875" style="138" customWidth="1"/>
    <col min="8" max="8" width="11.140625" style="138" bestFit="1" customWidth="1"/>
    <col min="9" max="9" width="13.7109375" style="138" bestFit="1" customWidth="1"/>
    <col min="10" max="10" width="16" style="142" customWidth="1"/>
    <col min="11" max="11" width="13.5703125" style="142" customWidth="1"/>
    <col min="12" max="12" width="17.7109375" style="138" bestFit="1" customWidth="1"/>
    <col min="13" max="13" width="12.5703125" style="138" customWidth="1"/>
    <col min="14" max="14" width="13.7109375" style="138" bestFit="1" customWidth="1"/>
    <col min="15" max="15" width="14.85546875" style="142" bestFit="1" customWidth="1"/>
    <col min="16" max="16" width="22.7109375" style="2" customWidth="1"/>
    <col min="17" max="16384" width="9.140625" style="2"/>
  </cols>
  <sheetData>
    <row r="1" spans="1:15" ht="15.75" x14ac:dyDescent="0.25">
      <c r="O1" s="158" t="s">
        <v>138</v>
      </c>
    </row>
    <row r="2" spans="1:15" ht="39" customHeight="1" x14ac:dyDescent="0.25">
      <c r="D2" s="212" t="s">
        <v>154</v>
      </c>
      <c r="E2" s="212"/>
      <c r="F2" s="212"/>
      <c r="G2" s="212"/>
      <c r="H2" s="212"/>
      <c r="I2" s="212"/>
      <c r="J2" s="212"/>
    </row>
    <row r="5" spans="1:15" x14ac:dyDescent="0.25">
      <c r="A5" s="215" t="s">
        <v>79</v>
      </c>
      <c r="B5" s="215" t="s">
        <v>87</v>
      </c>
      <c r="C5" s="216" t="s">
        <v>88</v>
      </c>
      <c r="D5" s="214" t="s">
        <v>89</v>
      </c>
      <c r="E5" s="214" t="s">
        <v>90</v>
      </c>
      <c r="F5" s="213" t="s">
        <v>134</v>
      </c>
      <c r="G5" s="214" t="s">
        <v>91</v>
      </c>
      <c r="H5" s="214"/>
      <c r="I5" s="214"/>
      <c r="J5" s="214"/>
      <c r="K5" s="213" t="s">
        <v>92</v>
      </c>
      <c r="L5" s="214" t="s">
        <v>93</v>
      </c>
      <c r="M5" s="214"/>
      <c r="N5" s="214"/>
      <c r="O5" s="214"/>
    </row>
    <row r="6" spans="1:15" ht="83.25" customHeight="1" x14ac:dyDescent="0.25">
      <c r="A6" s="215"/>
      <c r="B6" s="215"/>
      <c r="C6" s="216"/>
      <c r="D6" s="214"/>
      <c r="E6" s="214"/>
      <c r="F6" s="213"/>
      <c r="G6" s="83" t="s">
        <v>94</v>
      </c>
      <c r="H6" s="83" t="s">
        <v>95</v>
      </c>
      <c r="I6" s="83" t="s">
        <v>96</v>
      </c>
      <c r="J6" s="159" t="s">
        <v>0</v>
      </c>
      <c r="K6" s="213"/>
      <c r="L6" s="83" t="s">
        <v>97</v>
      </c>
      <c r="M6" s="83" t="s">
        <v>95</v>
      </c>
      <c r="N6" s="83" t="s">
        <v>96</v>
      </c>
      <c r="O6" s="159" t="s">
        <v>0</v>
      </c>
    </row>
    <row r="7" spans="1:15" ht="30" x14ac:dyDescent="0.25">
      <c r="A7" s="29">
        <v>1</v>
      </c>
      <c r="B7" s="62" t="s">
        <v>14</v>
      </c>
      <c r="C7" s="75">
        <v>39</v>
      </c>
      <c r="D7" s="139">
        <v>20255.560000000001</v>
      </c>
      <c r="E7" s="139">
        <v>35866.67</v>
      </c>
      <c r="F7" s="139">
        <f>E7/D7</f>
        <v>1.7707074008321664</v>
      </c>
      <c r="G7" s="139">
        <v>7467.8670000000002</v>
      </c>
      <c r="H7" s="139" t="s">
        <v>142</v>
      </c>
      <c r="I7" s="139">
        <v>2031.7729999999999</v>
      </c>
      <c r="J7" s="139">
        <f>SUM(G7:I7)</f>
        <v>9499.64</v>
      </c>
      <c r="K7" s="139">
        <f>J7/'[1]Форма 1'!R8</f>
        <v>0.6139172825621303</v>
      </c>
      <c r="L7" s="139">
        <v>2247.721</v>
      </c>
      <c r="M7" s="139" t="s">
        <v>142</v>
      </c>
      <c r="N7" s="139">
        <v>613.59460000000001</v>
      </c>
      <c r="O7" s="143">
        <f>SUM(L7:N7)</f>
        <v>2861.3155999999999</v>
      </c>
    </row>
    <row r="8" spans="1:15" ht="30" x14ac:dyDescent="0.25">
      <c r="A8" s="29">
        <v>2</v>
      </c>
      <c r="B8" s="62" t="s">
        <v>15</v>
      </c>
      <c r="C8" s="75">
        <v>31.5</v>
      </c>
      <c r="D8" s="139">
        <v>16257.94</v>
      </c>
      <c r="E8" s="139">
        <v>24008.33</v>
      </c>
      <c r="F8" s="139">
        <f t="shared" ref="F8:F71" si="0">E8/D8</f>
        <v>1.4767141470567613</v>
      </c>
      <c r="G8" s="139">
        <v>4746.9059999999999</v>
      </c>
      <c r="H8" s="139">
        <v>72.338160000000002</v>
      </c>
      <c r="I8" s="139">
        <v>1343.2660000000001</v>
      </c>
      <c r="J8" s="139">
        <f>SUM(G8:I8)</f>
        <v>6162.5101599999998</v>
      </c>
      <c r="K8" s="139">
        <f>J8/'[1]Форма 1'!R9</f>
        <v>0.56757606081388834</v>
      </c>
      <c r="L8" s="139">
        <v>1428.3969999999999</v>
      </c>
      <c r="M8" s="139">
        <v>21.846109999999999</v>
      </c>
      <c r="N8" s="139">
        <v>405.66699999999997</v>
      </c>
      <c r="O8" s="143">
        <f t="shared" ref="O8:O68" si="1">SUM(L8:N8)</f>
        <v>1855.9101099999998</v>
      </c>
    </row>
    <row r="9" spans="1:15" ht="30" x14ac:dyDescent="0.25">
      <c r="A9" s="29">
        <v>3</v>
      </c>
      <c r="B9" s="62" t="s">
        <v>16</v>
      </c>
      <c r="C9" s="75">
        <v>32.799999999999997</v>
      </c>
      <c r="D9" s="139">
        <v>21607.72</v>
      </c>
      <c r="E9" s="139">
        <v>32833.33</v>
      </c>
      <c r="F9" s="139">
        <f t="shared" si="0"/>
        <v>1.5195184869111595</v>
      </c>
      <c r="G9" s="139">
        <v>6731</v>
      </c>
      <c r="H9" s="139" t="s">
        <v>142</v>
      </c>
      <c r="I9" s="139">
        <v>1801.221</v>
      </c>
      <c r="J9" s="139">
        <f t="shared" ref="J9:J20" si="2">SUM(G9:I9)</f>
        <v>8532.2209999999995</v>
      </c>
      <c r="K9" s="139">
        <f>J9/'[1]Форма 1'!R10</f>
        <v>0.58785035580874256</v>
      </c>
      <c r="L9" s="139">
        <v>2033</v>
      </c>
      <c r="M9" s="139" t="s">
        <v>142</v>
      </c>
      <c r="N9" s="139">
        <v>543.96900000000005</v>
      </c>
      <c r="O9" s="143">
        <f t="shared" si="1"/>
        <v>2576.9690000000001</v>
      </c>
    </row>
    <row r="10" spans="1:15" ht="30" x14ac:dyDescent="0.25">
      <c r="A10" s="29">
        <v>4</v>
      </c>
      <c r="B10" s="62" t="s">
        <v>17</v>
      </c>
      <c r="C10" s="75">
        <v>31</v>
      </c>
      <c r="D10" s="139">
        <v>18170.43</v>
      </c>
      <c r="E10" s="139">
        <v>34729.17</v>
      </c>
      <c r="F10" s="139">
        <f t="shared" si="0"/>
        <v>1.911301493690573</v>
      </c>
      <c r="G10" s="139">
        <v>5320.0060000000003</v>
      </c>
      <c r="H10" s="139">
        <v>138.0994</v>
      </c>
      <c r="I10" s="139">
        <v>1323.6659999999999</v>
      </c>
      <c r="J10" s="139">
        <f t="shared" si="2"/>
        <v>6781.7714000000005</v>
      </c>
      <c r="K10" s="139">
        <f>J10/'[1]Форма 1'!R11</f>
        <v>0.54339362278605907</v>
      </c>
      <c r="L10" s="139">
        <v>1631</v>
      </c>
      <c r="M10" s="139">
        <v>41.706000000000003</v>
      </c>
      <c r="N10" s="139">
        <v>399.74599999999998</v>
      </c>
      <c r="O10" s="143">
        <f t="shared" si="1"/>
        <v>2072.4519999999998</v>
      </c>
    </row>
    <row r="11" spans="1:15" ht="30" x14ac:dyDescent="0.25">
      <c r="A11" s="29">
        <v>5</v>
      </c>
      <c r="B11" s="62" t="s">
        <v>18</v>
      </c>
      <c r="C11" s="60">
        <v>69</v>
      </c>
      <c r="D11" s="139">
        <v>21842.39</v>
      </c>
      <c r="E11" s="139">
        <v>46025</v>
      </c>
      <c r="F11" s="139">
        <f t="shared" si="0"/>
        <v>2.107141205701391</v>
      </c>
      <c r="G11" s="139">
        <v>14421</v>
      </c>
      <c r="H11" s="139">
        <v>41.551400000000001</v>
      </c>
      <c r="I11" s="139">
        <v>3694.7919999999999</v>
      </c>
      <c r="J11" s="139">
        <f t="shared" si="2"/>
        <v>18157.343400000002</v>
      </c>
      <c r="K11" s="139">
        <f>J11/'[1]Форма 1'!R12</f>
        <v>0.60225907841049675</v>
      </c>
      <c r="L11" s="139">
        <v>4333.5320000000002</v>
      </c>
      <c r="M11" s="139">
        <v>12.54853</v>
      </c>
      <c r="N11" s="139">
        <v>1115.78</v>
      </c>
      <c r="O11" s="143">
        <f t="shared" si="1"/>
        <v>5461.8605299999999</v>
      </c>
    </row>
    <row r="12" spans="1:15" ht="30" x14ac:dyDescent="0.25">
      <c r="A12" s="29">
        <v>6</v>
      </c>
      <c r="B12" s="62" t="s">
        <v>19</v>
      </c>
      <c r="C12" s="60">
        <v>57.1</v>
      </c>
      <c r="D12" s="139">
        <v>19424.84</v>
      </c>
      <c r="E12" s="139">
        <v>26183.33</v>
      </c>
      <c r="F12" s="139">
        <f t="shared" si="0"/>
        <v>1.3479302789624008</v>
      </c>
      <c r="G12" s="139">
        <v>10634.52</v>
      </c>
      <c r="H12" s="139" t="s">
        <v>142</v>
      </c>
      <c r="I12" s="139">
        <v>2797.1819999999998</v>
      </c>
      <c r="J12" s="139">
        <f t="shared" si="2"/>
        <v>13431.702000000001</v>
      </c>
      <c r="K12" s="139">
        <f>J12/'[1]Форма 1'!R13</f>
        <v>0.58727040361979543</v>
      </c>
      <c r="L12" s="139">
        <v>3187.9459999999999</v>
      </c>
      <c r="M12" s="139" t="s">
        <v>142</v>
      </c>
      <c r="N12" s="139">
        <v>844.70219999999995</v>
      </c>
      <c r="O12" s="143">
        <f>SUM(L12:N12)</f>
        <v>4032.6481999999996</v>
      </c>
    </row>
    <row r="13" spans="1:15" x14ac:dyDescent="0.25">
      <c r="A13" s="29">
        <v>7</v>
      </c>
      <c r="B13" s="62" t="s">
        <v>20</v>
      </c>
      <c r="C13" s="60">
        <v>56.6</v>
      </c>
      <c r="D13" s="139">
        <v>27842.9</v>
      </c>
      <c r="E13" s="139">
        <v>39016.67</v>
      </c>
      <c r="F13" s="139">
        <f t="shared" si="0"/>
        <v>1.4013148774014199</v>
      </c>
      <c r="G13" s="139">
        <v>16794.41</v>
      </c>
      <c r="H13" s="139" t="s">
        <v>142</v>
      </c>
      <c r="I13" s="139">
        <v>1576.694</v>
      </c>
      <c r="J13" s="139">
        <f t="shared" si="2"/>
        <v>18371.103999999999</v>
      </c>
      <c r="K13" s="139">
        <f>J13/'[1]Форма 1'!R14</f>
        <v>0.58047461638132158</v>
      </c>
      <c r="L13" s="139">
        <v>4964.7449999999999</v>
      </c>
      <c r="M13" s="139" t="s">
        <v>142</v>
      </c>
      <c r="N13" s="139">
        <v>476.1617</v>
      </c>
      <c r="O13" s="143">
        <f t="shared" si="1"/>
        <v>5440.9066999999995</v>
      </c>
    </row>
    <row r="14" spans="1:15" x14ac:dyDescent="0.25">
      <c r="A14" s="29">
        <v>8</v>
      </c>
      <c r="B14" s="62" t="s">
        <v>21</v>
      </c>
      <c r="C14" s="60">
        <v>50</v>
      </c>
      <c r="D14" s="139">
        <v>20544.169999999998</v>
      </c>
      <c r="E14" s="139">
        <v>41958.33</v>
      </c>
      <c r="F14" s="139">
        <f t="shared" si="0"/>
        <v>2.0423472936604403</v>
      </c>
      <c r="G14" s="139">
        <v>11148.5</v>
      </c>
      <c r="H14" s="139" t="s">
        <v>142</v>
      </c>
      <c r="I14" s="139">
        <v>1198.578</v>
      </c>
      <c r="J14" s="139">
        <f t="shared" si="2"/>
        <v>12347.078</v>
      </c>
      <c r="K14" s="139">
        <f>J14/'[1]Форма 1'!R15</f>
        <v>0.52666625774327858</v>
      </c>
      <c r="L14" s="139">
        <v>3345.192</v>
      </c>
      <c r="M14" s="139" t="s">
        <v>142</v>
      </c>
      <c r="N14" s="139">
        <v>361.96940000000001</v>
      </c>
      <c r="O14" s="143">
        <f t="shared" si="1"/>
        <v>3707.1614</v>
      </c>
    </row>
    <row r="15" spans="1:15" ht="30" x14ac:dyDescent="0.25">
      <c r="A15" s="29">
        <v>9</v>
      </c>
      <c r="B15" s="62" t="s">
        <v>22</v>
      </c>
      <c r="C15" s="60">
        <v>38.700000000000003</v>
      </c>
      <c r="D15" s="139">
        <v>26709.73</v>
      </c>
      <c r="E15" s="139">
        <v>66250</v>
      </c>
      <c r="F15" s="139">
        <f t="shared" si="0"/>
        <v>2.4803695132822385</v>
      </c>
      <c r="G15" s="139">
        <v>11161.82</v>
      </c>
      <c r="H15" s="139" t="s">
        <v>142</v>
      </c>
      <c r="I15" s="139">
        <v>1215.8119999999999</v>
      </c>
      <c r="J15" s="139">
        <f t="shared" si="2"/>
        <v>12377.632</v>
      </c>
      <c r="K15" s="139">
        <f>J15/'[1]Форма 1'!R16</f>
        <v>0.61251024848863811</v>
      </c>
      <c r="L15" s="139">
        <v>3353.6570000000002</v>
      </c>
      <c r="M15" s="139" t="s">
        <v>142</v>
      </c>
      <c r="N15" s="139">
        <v>367.1764</v>
      </c>
      <c r="O15" s="143">
        <f t="shared" si="1"/>
        <v>3720.8334</v>
      </c>
    </row>
    <row r="16" spans="1:15" ht="30" x14ac:dyDescent="0.25">
      <c r="A16" s="29">
        <v>10</v>
      </c>
      <c r="B16" s="62" t="s">
        <v>23</v>
      </c>
      <c r="C16" s="60">
        <v>49.5</v>
      </c>
      <c r="D16" s="139">
        <v>25791.41</v>
      </c>
      <c r="E16" s="139">
        <v>35325</v>
      </c>
      <c r="F16" s="139">
        <f t="shared" si="0"/>
        <v>1.3696420629969435</v>
      </c>
      <c r="G16" s="139">
        <v>13775.01</v>
      </c>
      <c r="H16" s="139" t="s">
        <v>142</v>
      </c>
      <c r="I16" s="139">
        <v>1355.296</v>
      </c>
      <c r="J16" s="139">
        <f t="shared" si="2"/>
        <v>15130.306</v>
      </c>
      <c r="K16" s="139">
        <f>J16/'[1]Форма 1'!R17</f>
        <v>0.89527078594491327</v>
      </c>
      <c r="L16" s="139">
        <v>4136.6559999999999</v>
      </c>
      <c r="M16" s="139" t="s">
        <v>142</v>
      </c>
      <c r="N16" s="139">
        <v>409.29669999999999</v>
      </c>
      <c r="O16" s="143">
        <f t="shared" si="1"/>
        <v>4545.9526999999998</v>
      </c>
    </row>
    <row r="17" spans="1:15" ht="30" x14ac:dyDescent="0.25">
      <c r="A17" s="29">
        <v>11</v>
      </c>
      <c r="B17" s="62" t="s">
        <v>24</v>
      </c>
      <c r="C17" s="60">
        <v>40.799999999999997</v>
      </c>
      <c r="D17" s="139">
        <v>27930.959999999999</v>
      </c>
      <c r="E17" s="139">
        <v>51858.33</v>
      </c>
      <c r="F17" s="139">
        <f t="shared" si="0"/>
        <v>1.8566612103558204</v>
      </c>
      <c r="G17" s="139">
        <v>12232.5</v>
      </c>
      <c r="H17" s="139" t="s">
        <v>142</v>
      </c>
      <c r="I17" s="139">
        <v>1311.154</v>
      </c>
      <c r="J17" s="139">
        <f t="shared" si="2"/>
        <v>13543.654</v>
      </c>
      <c r="K17" s="139">
        <f>J17/'[1]Форма 1'!R18</f>
        <v>0.29480217232785172</v>
      </c>
      <c r="L17" s="139">
        <v>3696.6559999999999</v>
      </c>
      <c r="M17" s="139" t="s">
        <v>142</v>
      </c>
      <c r="N17" s="139">
        <v>395.96879999999999</v>
      </c>
      <c r="O17" s="143">
        <f t="shared" si="1"/>
        <v>4092.6248000000001</v>
      </c>
    </row>
    <row r="18" spans="1:15" ht="30" x14ac:dyDescent="0.25">
      <c r="A18" s="29">
        <v>12</v>
      </c>
      <c r="B18" s="62" t="s">
        <v>25</v>
      </c>
      <c r="C18" s="60">
        <v>66.3</v>
      </c>
      <c r="D18" s="139">
        <v>24678.36</v>
      </c>
      <c r="E18" s="139">
        <v>48675</v>
      </c>
      <c r="F18" s="139">
        <f t="shared" si="0"/>
        <v>1.9723757980676186</v>
      </c>
      <c r="G18" s="139">
        <v>17663.23</v>
      </c>
      <c r="H18" s="139" t="s">
        <v>142</v>
      </c>
      <c r="I18" s="139">
        <v>2039.82</v>
      </c>
      <c r="J18" s="139">
        <f t="shared" si="2"/>
        <v>19703.05</v>
      </c>
      <c r="K18" s="139">
        <f>J18/'[1]Форма 1'!R19</f>
        <v>0.59537630904347216</v>
      </c>
      <c r="L18" s="139">
        <v>5294.9480000000003</v>
      </c>
      <c r="M18" s="139" t="s">
        <v>142</v>
      </c>
      <c r="N18" s="139">
        <v>616.02850000000001</v>
      </c>
      <c r="O18" s="143">
        <f t="shared" si="1"/>
        <v>5910.9765000000007</v>
      </c>
    </row>
    <row r="19" spans="1:15" x14ac:dyDescent="0.25">
      <c r="A19" s="29">
        <v>13</v>
      </c>
      <c r="B19" s="62" t="s">
        <v>26</v>
      </c>
      <c r="C19" s="75">
        <v>65.5</v>
      </c>
      <c r="D19" s="139">
        <v>23634.86</v>
      </c>
      <c r="E19" s="139">
        <v>53233.33</v>
      </c>
      <c r="F19" s="139">
        <f t="shared" si="0"/>
        <v>2.2523226285241376</v>
      </c>
      <c r="G19" s="139">
        <v>16664.64</v>
      </c>
      <c r="H19" s="139" t="s">
        <v>142</v>
      </c>
      <c r="I19" s="139">
        <v>1889.279</v>
      </c>
      <c r="J19" s="139">
        <f t="shared" si="2"/>
        <v>18553.918999999998</v>
      </c>
      <c r="K19" s="139">
        <f>J19/'[1]Форма 1'!R20</f>
        <v>0.48980029941796721</v>
      </c>
      <c r="L19" s="139">
        <v>4995.5460000000003</v>
      </c>
      <c r="M19" s="139" t="s">
        <v>142</v>
      </c>
      <c r="N19" s="139">
        <v>570.56060000000002</v>
      </c>
      <c r="O19" s="143">
        <f t="shared" si="1"/>
        <v>5566.1066000000001</v>
      </c>
    </row>
    <row r="20" spans="1:15" ht="30" x14ac:dyDescent="0.25">
      <c r="A20" s="29">
        <v>14</v>
      </c>
      <c r="B20" s="62" t="s">
        <v>27</v>
      </c>
      <c r="C20" s="75">
        <v>33.6</v>
      </c>
      <c r="D20" s="139">
        <v>20654.759999999998</v>
      </c>
      <c r="E20" s="139">
        <v>41000.000000000007</v>
      </c>
      <c r="F20" s="139">
        <f t="shared" si="0"/>
        <v>1.9850145922780031</v>
      </c>
      <c r="G20" s="139">
        <v>6465.8109999999997</v>
      </c>
      <c r="H20" s="139">
        <v>167.83369999999999</v>
      </c>
      <c r="I20" s="139">
        <v>2064.2660000000001</v>
      </c>
      <c r="J20" s="139">
        <f t="shared" si="2"/>
        <v>8697.9107000000004</v>
      </c>
      <c r="K20" s="139">
        <f>J20/'[1]Форма 1'!R21</f>
        <v>0.51672087082468732</v>
      </c>
      <c r="L20" s="139">
        <v>1941.414</v>
      </c>
      <c r="M20" s="139">
        <v>50.820079999999997</v>
      </c>
      <c r="N20" s="139">
        <v>623.41679999999997</v>
      </c>
      <c r="O20" s="143">
        <f t="shared" si="1"/>
        <v>2615.6508800000001</v>
      </c>
    </row>
    <row r="21" spans="1:15" ht="30" x14ac:dyDescent="0.25">
      <c r="A21" s="29">
        <v>15</v>
      </c>
      <c r="B21" s="71" t="s">
        <v>160</v>
      </c>
      <c r="C21" s="75">
        <v>8.3000000000000007</v>
      </c>
      <c r="D21" s="139">
        <v>19583.330000000002</v>
      </c>
      <c r="E21" s="139">
        <v>32645.83</v>
      </c>
      <c r="F21" s="139">
        <f t="shared" si="0"/>
        <v>1.6670213901313005</v>
      </c>
      <c r="G21" s="139">
        <v>1532.422</v>
      </c>
      <c r="H21" s="139" t="s">
        <v>142</v>
      </c>
      <c r="I21" s="139">
        <v>419.95600000000002</v>
      </c>
      <c r="J21" s="139">
        <f>SUM(G21:I21)</f>
        <v>1952.3780000000002</v>
      </c>
      <c r="K21" s="139">
        <f>J21/'[1]Форма 1'!R38</f>
        <v>0.21621160189733957</v>
      </c>
      <c r="L21" s="139">
        <v>462.23739999999998</v>
      </c>
      <c r="M21" s="139" t="s">
        <v>142</v>
      </c>
      <c r="N21" s="139">
        <v>126.82640000000001</v>
      </c>
      <c r="O21" s="143">
        <f t="shared" si="1"/>
        <v>589.06380000000001</v>
      </c>
    </row>
    <row r="22" spans="1:15" ht="30" x14ac:dyDescent="0.25">
      <c r="A22" s="29">
        <v>16</v>
      </c>
      <c r="B22" s="71" t="s">
        <v>28</v>
      </c>
      <c r="C22" s="75">
        <v>36</v>
      </c>
      <c r="D22" s="139">
        <v>18094.68</v>
      </c>
      <c r="E22" s="139">
        <v>31928.57</v>
      </c>
      <c r="F22" s="139">
        <f t="shared" si="0"/>
        <v>1.7645280270223072</v>
      </c>
      <c r="G22" s="139">
        <v>5992.1980000000003</v>
      </c>
      <c r="H22" s="139" t="s">
        <v>142</v>
      </c>
      <c r="I22" s="139">
        <v>1868.771</v>
      </c>
      <c r="J22" s="139">
        <f>SUM(G22:I22)</f>
        <v>7860.9690000000001</v>
      </c>
      <c r="K22" s="139">
        <f>J22/'[1]Форма 1'!R23</f>
        <v>0.56975369128988584</v>
      </c>
      <c r="L22" s="139">
        <v>1796.3030000000001</v>
      </c>
      <c r="M22" s="139" t="s">
        <v>142</v>
      </c>
      <c r="N22" s="139">
        <v>564.36800000000005</v>
      </c>
      <c r="O22" s="143">
        <f t="shared" si="1"/>
        <v>2360.6710000000003</v>
      </c>
    </row>
    <row r="23" spans="1:15" ht="30" x14ac:dyDescent="0.25">
      <c r="A23" s="29">
        <v>17</v>
      </c>
      <c r="B23" s="71" t="s">
        <v>29</v>
      </c>
      <c r="C23" s="75">
        <v>24.6</v>
      </c>
      <c r="D23" s="139">
        <v>21734.080000000002</v>
      </c>
      <c r="E23" s="160">
        <v>17350</v>
      </c>
      <c r="F23" s="139">
        <f t="shared" si="0"/>
        <v>0.79828545767752757</v>
      </c>
      <c r="G23" s="139">
        <v>5081.598</v>
      </c>
      <c r="H23" s="139" t="s">
        <v>142</v>
      </c>
      <c r="I23" s="139">
        <v>1371.066</v>
      </c>
      <c r="J23" s="139">
        <f>SUM(G23:I23)</f>
        <v>6452.6639999999998</v>
      </c>
      <c r="K23" s="139">
        <f>J23/'[1]Форма 1'!R24</f>
        <v>0.57561820439431466</v>
      </c>
      <c r="L23" s="139">
        <v>1514.29</v>
      </c>
      <c r="M23" s="139" t="s">
        <v>142</v>
      </c>
      <c r="N23" s="139">
        <v>414.06200000000001</v>
      </c>
      <c r="O23" s="143">
        <f>SUM(L23:N23)</f>
        <v>1928.3519999999999</v>
      </c>
    </row>
    <row r="24" spans="1:15" x14ac:dyDescent="0.25">
      <c r="A24" s="29">
        <v>18</v>
      </c>
      <c r="B24" s="71" t="s">
        <v>30</v>
      </c>
      <c r="C24" s="75">
        <v>21.8</v>
      </c>
      <c r="D24" s="139">
        <v>19583.330000000002</v>
      </c>
      <c r="E24" s="139">
        <v>31100</v>
      </c>
      <c r="F24" s="139">
        <f t="shared" si="0"/>
        <v>1.5880853766953831</v>
      </c>
      <c r="G24" s="139">
        <v>4050.94</v>
      </c>
      <c r="H24" s="139" t="s">
        <v>142</v>
      </c>
      <c r="I24" s="139">
        <v>1071.713</v>
      </c>
      <c r="J24" s="139">
        <f t="shared" ref="J24:J37" si="3">SUM(G24:I24)</f>
        <v>5122.6530000000002</v>
      </c>
      <c r="K24" s="139">
        <f>J24/'[1]Форма 1'!R25</f>
        <v>0.55346795634552348</v>
      </c>
      <c r="L24" s="139">
        <v>1219.1189999999999</v>
      </c>
      <c r="M24" s="139" t="s">
        <v>142</v>
      </c>
      <c r="N24" s="139">
        <v>323.6574</v>
      </c>
      <c r="O24" s="143">
        <f t="shared" si="1"/>
        <v>1542.7764</v>
      </c>
    </row>
    <row r="25" spans="1:15" ht="30" x14ac:dyDescent="0.25">
      <c r="A25" s="29">
        <v>19</v>
      </c>
      <c r="B25" s="71" t="s">
        <v>31</v>
      </c>
      <c r="C25" s="75">
        <v>28.8</v>
      </c>
      <c r="D25" s="139">
        <v>18636</v>
      </c>
      <c r="E25" s="139">
        <v>35291.67</v>
      </c>
      <c r="F25" s="139">
        <f t="shared" si="0"/>
        <v>1.8937363168061816</v>
      </c>
      <c r="G25" s="139">
        <v>4950</v>
      </c>
      <c r="H25" s="139" t="s">
        <v>142</v>
      </c>
      <c r="I25" s="139">
        <v>1501.4169999999999</v>
      </c>
      <c r="J25" s="139">
        <f t="shared" si="3"/>
        <v>6451.4169999999995</v>
      </c>
      <c r="K25" s="139">
        <f>J25/'[1]Форма 1'!R26</f>
        <v>0.56220837489057851</v>
      </c>
      <c r="L25" s="139">
        <v>1492.1510000000001</v>
      </c>
      <c r="M25" s="139" t="s">
        <v>142</v>
      </c>
      <c r="N25" s="139">
        <v>453.428</v>
      </c>
      <c r="O25" s="143">
        <f t="shared" si="1"/>
        <v>1945.5790000000002</v>
      </c>
    </row>
    <row r="26" spans="1:15" ht="30" x14ac:dyDescent="0.25">
      <c r="A26" s="29">
        <v>20</v>
      </c>
      <c r="B26" s="71" t="s">
        <v>32</v>
      </c>
      <c r="C26" s="75">
        <v>24.1</v>
      </c>
      <c r="D26" s="139">
        <v>15302.9</v>
      </c>
      <c r="E26" s="139">
        <v>22341.67</v>
      </c>
      <c r="F26" s="139">
        <f t="shared" si="0"/>
        <v>1.459963144240634</v>
      </c>
      <c r="G26" s="139">
        <v>3152.9609999999998</v>
      </c>
      <c r="H26" s="139" t="s">
        <v>142</v>
      </c>
      <c r="I26" s="139">
        <v>1302.4639999999999</v>
      </c>
      <c r="J26" s="139">
        <f t="shared" si="3"/>
        <v>4455.4249999999993</v>
      </c>
      <c r="K26" s="139">
        <f>J26/'[1]Форма 1'!R27</f>
        <v>0.15720359767669514</v>
      </c>
      <c r="L26" s="139">
        <v>941.51760000000002</v>
      </c>
      <c r="M26" s="139" t="s">
        <v>142</v>
      </c>
      <c r="N26" s="139">
        <v>393.29700000000003</v>
      </c>
      <c r="O26" s="143">
        <f t="shared" si="1"/>
        <v>1334.8146000000002</v>
      </c>
    </row>
    <row r="27" spans="1:15" ht="30" x14ac:dyDescent="0.25">
      <c r="A27" s="29">
        <v>21</v>
      </c>
      <c r="B27" s="71" t="s">
        <v>33</v>
      </c>
      <c r="C27" s="75">
        <v>12</v>
      </c>
      <c r="D27" s="139">
        <v>16561.810000000001</v>
      </c>
      <c r="E27" s="139">
        <v>27620.37</v>
      </c>
      <c r="F27" s="139">
        <f t="shared" si="0"/>
        <v>1.6677144587457529</v>
      </c>
      <c r="G27" s="139">
        <v>1918.7909999999999</v>
      </c>
      <c r="H27" s="139" t="s">
        <v>142</v>
      </c>
      <c r="I27" s="139">
        <v>474.00599999999997</v>
      </c>
      <c r="J27" s="139">
        <f t="shared" si="3"/>
        <v>2392.797</v>
      </c>
      <c r="K27" s="139">
        <f>J27/'[1]Форма 1'!R28</f>
        <v>0.51836513454056332</v>
      </c>
      <c r="L27" s="139">
        <v>577.09749999999997</v>
      </c>
      <c r="M27" s="139" t="s">
        <v>142</v>
      </c>
      <c r="N27" s="139">
        <v>143.15</v>
      </c>
      <c r="O27" s="143">
        <f t="shared" si="1"/>
        <v>720.24749999999995</v>
      </c>
    </row>
    <row r="28" spans="1:15" ht="30" x14ac:dyDescent="0.25">
      <c r="A28" s="29">
        <v>22</v>
      </c>
      <c r="B28" s="71" t="s">
        <v>34</v>
      </c>
      <c r="C28" s="75">
        <v>15.6</v>
      </c>
      <c r="D28" s="139">
        <v>18780.98</v>
      </c>
      <c r="E28" s="139">
        <v>32716.67</v>
      </c>
      <c r="F28" s="139">
        <f t="shared" si="0"/>
        <v>1.7420108002883767</v>
      </c>
      <c r="G28" s="139">
        <v>2765.4839999999999</v>
      </c>
      <c r="H28" s="139">
        <v>69.478750000000005</v>
      </c>
      <c r="I28" s="139">
        <v>696.274</v>
      </c>
      <c r="J28" s="139">
        <f t="shared" si="3"/>
        <v>3531.23675</v>
      </c>
      <c r="K28" s="139">
        <f>J28/'[1]Форма 1'!R29</f>
        <v>0.48420921359916275</v>
      </c>
      <c r="L28" s="139">
        <v>830.51179999999999</v>
      </c>
      <c r="M28" s="139">
        <v>20.982589999999998</v>
      </c>
      <c r="N28" s="139">
        <v>210.27500000000001</v>
      </c>
      <c r="O28" s="143">
        <f t="shared" si="1"/>
        <v>1061.7693899999999</v>
      </c>
    </row>
    <row r="29" spans="1:15" x14ac:dyDescent="0.25">
      <c r="A29" s="29">
        <v>23</v>
      </c>
      <c r="B29" s="71" t="s">
        <v>35</v>
      </c>
      <c r="C29" s="75">
        <v>21.1</v>
      </c>
      <c r="D29" s="139">
        <v>18835.7</v>
      </c>
      <c r="E29" s="139">
        <v>29308.33</v>
      </c>
      <c r="F29" s="139">
        <f t="shared" si="0"/>
        <v>1.5559989806590677</v>
      </c>
      <c r="G29" s="139">
        <v>3744.79</v>
      </c>
      <c r="H29" s="139" t="s">
        <v>142</v>
      </c>
      <c r="I29" s="139">
        <v>1036.011</v>
      </c>
      <c r="J29" s="139">
        <f t="shared" si="3"/>
        <v>4780.8009999999995</v>
      </c>
      <c r="K29" s="139">
        <f>J29/'[1]Форма 1'!R30</f>
        <v>0.5387208802637844</v>
      </c>
      <c r="L29" s="139">
        <v>1122.5419999999999</v>
      </c>
      <c r="M29" s="139" t="s">
        <v>142</v>
      </c>
      <c r="N29" s="139">
        <v>312.92</v>
      </c>
      <c r="O29" s="143">
        <f t="shared" si="1"/>
        <v>1435.462</v>
      </c>
    </row>
    <row r="30" spans="1:15" x14ac:dyDescent="0.25">
      <c r="A30" s="29">
        <v>24</v>
      </c>
      <c r="B30" s="71" t="s">
        <v>36</v>
      </c>
      <c r="C30" s="75">
        <v>45.2</v>
      </c>
      <c r="D30" s="139">
        <v>20921.28</v>
      </c>
      <c r="E30" s="139">
        <v>53325</v>
      </c>
      <c r="F30" s="139">
        <f t="shared" si="0"/>
        <v>2.5488402239251138</v>
      </c>
      <c r="G30" s="139">
        <v>8696.9830000000002</v>
      </c>
      <c r="H30" s="139" t="s">
        <v>142</v>
      </c>
      <c r="I30" s="139">
        <v>2690.1570000000002</v>
      </c>
      <c r="J30" s="139">
        <f t="shared" si="3"/>
        <v>11387.14</v>
      </c>
      <c r="K30" s="139">
        <f>J30/'[1]Форма 1'!R31</f>
        <v>0.57145144612454013</v>
      </c>
      <c r="L30" s="139">
        <v>2608.0889999999999</v>
      </c>
      <c r="M30" s="139" t="s">
        <v>142</v>
      </c>
      <c r="N30" s="139">
        <v>812.42719999999997</v>
      </c>
      <c r="O30" s="143">
        <f t="shared" si="1"/>
        <v>3420.5162</v>
      </c>
    </row>
    <row r="31" spans="1:15" ht="30" x14ac:dyDescent="0.25">
      <c r="A31" s="29">
        <v>25</v>
      </c>
      <c r="B31" s="71" t="s">
        <v>37</v>
      </c>
      <c r="C31" s="75">
        <v>12.3</v>
      </c>
      <c r="D31" s="139">
        <v>13107.05</v>
      </c>
      <c r="E31" s="139">
        <v>23275</v>
      </c>
      <c r="F31" s="139">
        <f t="shared" si="0"/>
        <v>1.7757618991306205</v>
      </c>
      <c r="G31" s="139">
        <v>1552.07</v>
      </c>
      <c r="H31" s="139" t="s">
        <v>142</v>
      </c>
      <c r="I31" s="139">
        <v>383.30399999999997</v>
      </c>
      <c r="J31" s="139">
        <f t="shared" si="3"/>
        <v>1935.3739999999998</v>
      </c>
      <c r="K31" s="139">
        <f>J31/'[1]Форма 1'!R32</f>
        <v>0.18055239662877257</v>
      </c>
      <c r="L31" s="139">
        <v>468.4941</v>
      </c>
      <c r="M31" s="139" t="s">
        <v>142</v>
      </c>
      <c r="N31" s="139">
        <v>115.758</v>
      </c>
      <c r="O31" s="143">
        <f t="shared" si="1"/>
        <v>584.25210000000004</v>
      </c>
    </row>
    <row r="32" spans="1:15" ht="30" x14ac:dyDescent="0.25">
      <c r="A32" s="29">
        <v>26</v>
      </c>
      <c r="B32" s="71" t="s">
        <v>38</v>
      </c>
      <c r="C32" s="75">
        <v>35.299999999999997</v>
      </c>
      <c r="D32" s="139">
        <v>19446.650000000001</v>
      </c>
      <c r="E32" s="139">
        <v>35391.67</v>
      </c>
      <c r="F32" s="139">
        <f t="shared" si="0"/>
        <v>1.8199365957632803</v>
      </c>
      <c r="G32" s="139">
        <v>6705.8379999999997</v>
      </c>
      <c r="H32" s="139" t="s">
        <v>142</v>
      </c>
      <c r="I32" s="139">
        <v>1557.568</v>
      </c>
      <c r="J32" s="139">
        <f t="shared" si="3"/>
        <v>8263.405999999999</v>
      </c>
      <c r="K32" s="139">
        <f>J32/'[1]Форма 1'!R33</f>
        <v>0.53921797076241995</v>
      </c>
      <c r="L32" s="139">
        <v>2013.116</v>
      </c>
      <c r="M32" s="139" t="s">
        <v>142</v>
      </c>
      <c r="N32" s="139">
        <v>470.3854</v>
      </c>
      <c r="O32" s="143">
        <f t="shared" si="1"/>
        <v>2483.5014000000001</v>
      </c>
    </row>
    <row r="33" spans="1:15" ht="30" x14ac:dyDescent="0.25">
      <c r="A33" s="29">
        <v>27</v>
      </c>
      <c r="B33" s="71" t="s">
        <v>39</v>
      </c>
      <c r="C33" s="75">
        <v>13.3</v>
      </c>
      <c r="D33" s="139">
        <v>19548.87</v>
      </c>
      <c r="E33" s="139">
        <v>29225</v>
      </c>
      <c r="F33" s="139">
        <f t="shared" si="0"/>
        <v>1.4949713205929551</v>
      </c>
      <c r="G33" s="139">
        <v>2598.3649999999998</v>
      </c>
      <c r="H33" s="139" t="s">
        <v>142</v>
      </c>
      <c r="I33" s="139">
        <v>533.25599999999997</v>
      </c>
      <c r="J33" s="139">
        <f t="shared" si="3"/>
        <v>3131.6209999999996</v>
      </c>
      <c r="K33" s="139">
        <f>J33/'[1]Форма 1'!R34</f>
        <v>0.42494247764477772</v>
      </c>
      <c r="L33" s="139">
        <v>779.99469999999997</v>
      </c>
      <c r="M33" s="139" t="s">
        <v>142</v>
      </c>
      <c r="N33" s="139">
        <v>161.04300000000001</v>
      </c>
      <c r="O33" s="143">
        <f t="shared" si="1"/>
        <v>941.03769999999997</v>
      </c>
    </row>
    <row r="34" spans="1:15" x14ac:dyDescent="0.25">
      <c r="A34" s="29">
        <v>28</v>
      </c>
      <c r="B34" s="71" t="s">
        <v>40</v>
      </c>
      <c r="C34" s="75">
        <v>28.9</v>
      </c>
      <c r="D34" s="139">
        <v>14588.24</v>
      </c>
      <c r="E34" s="139">
        <v>27416.67</v>
      </c>
      <c r="F34" s="139">
        <f t="shared" si="0"/>
        <v>1.8793679018168057</v>
      </c>
      <c r="G34" s="139">
        <v>3813.252</v>
      </c>
      <c r="H34" s="139" t="s">
        <v>142</v>
      </c>
      <c r="I34" s="139">
        <v>1322.2149999999999</v>
      </c>
      <c r="J34" s="139">
        <f t="shared" si="3"/>
        <v>5135.4669999999996</v>
      </c>
      <c r="K34" s="139">
        <f>J34/'[1]Форма 1'!R35</f>
        <v>0.59081791184077959</v>
      </c>
      <c r="L34" s="139">
        <v>1139.769</v>
      </c>
      <c r="M34" s="139" t="s">
        <v>142</v>
      </c>
      <c r="N34" s="139">
        <v>399.30880000000002</v>
      </c>
      <c r="O34" s="143">
        <f t="shared" si="1"/>
        <v>1539.0778</v>
      </c>
    </row>
    <row r="35" spans="1:15" ht="30" x14ac:dyDescent="0.25">
      <c r="A35" s="29">
        <v>29</v>
      </c>
      <c r="B35" s="71" t="s">
        <v>41</v>
      </c>
      <c r="C35" s="75">
        <v>27.9</v>
      </c>
      <c r="D35" s="139">
        <v>21796.59</v>
      </c>
      <c r="E35" s="139">
        <v>31408.33</v>
      </c>
      <c r="F35" s="139">
        <f t="shared" si="0"/>
        <v>1.4409744827057811</v>
      </c>
      <c r="G35" s="139">
        <v>5898.4939999999997</v>
      </c>
      <c r="H35" s="139" t="s">
        <v>142</v>
      </c>
      <c r="I35" s="139">
        <v>1433.152</v>
      </c>
      <c r="J35" s="139">
        <f t="shared" si="3"/>
        <v>7331.6459999999997</v>
      </c>
      <c r="K35" s="139">
        <f>J35/'[1]Форма 1'!R36</f>
        <v>0.57454638005917913</v>
      </c>
      <c r="L35" s="139">
        <v>1771.0250000000001</v>
      </c>
      <c r="M35" s="139" t="s">
        <v>142</v>
      </c>
      <c r="N35" s="139">
        <v>432.81119999999999</v>
      </c>
      <c r="O35" s="143">
        <f t="shared" si="1"/>
        <v>2203.8362000000002</v>
      </c>
    </row>
    <row r="36" spans="1:15" ht="30" x14ac:dyDescent="0.25">
      <c r="A36" s="29">
        <v>30</v>
      </c>
      <c r="B36" s="71" t="s">
        <v>42</v>
      </c>
      <c r="C36" s="75">
        <v>23.2</v>
      </c>
      <c r="D36" s="139">
        <v>19280.169999999998</v>
      </c>
      <c r="E36" s="139">
        <v>21599.999999999996</v>
      </c>
      <c r="F36" s="139">
        <f t="shared" si="0"/>
        <v>1.1203220718489515</v>
      </c>
      <c r="G36" s="139">
        <v>4625.9480000000003</v>
      </c>
      <c r="H36" s="139" t="s">
        <v>142</v>
      </c>
      <c r="I36" s="139">
        <v>1324.7639999999999</v>
      </c>
      <c r="J36" s="139">
        <f t="shared" si="3"/>
        <v>5950.7120000000004</v>
      </c>
      <c r="K36" s="139">
        <f>J36/'[1]Форма 1'!R37</f>
        <v>0.55284490607406311</v>
      </c>
      <c r="L36" s="139">
        <v>1393.4570000000001</v>
      </c>
      <c r="M36" s="139" t="s">
        <v>142</v>
      </c>
      <c r="N36" s="139">
        <v>400.03100000000001</v>
      </c>
      <c r="O36" s="143">
        <f>SUM(L36:N36)</f>
        <v>1793.4880000000001</v>
      </c>
    </row>
    <row r="37" spans="1:15" ht="30" x14ac:dyDescent="0.25">
      <c r="A37" s="29">
        <v>31</v>
      </c>
      <c r="B37" s="71" t="s">
        <v>43</v>
      </c>
      <c r="C37" s="75">
        <v>21</v>
      </c>
      <c r="D37" s="139">
        <v>18523.41</v>
      </c>
      <c r="E37" s="143">
        <v>22000</v>
      </c>
      <c r="F37" s="139">
        <f t="shared" si="0"/>
        <v>1.1876862845448004</v>
      </c>
      <c r="G37" s="139">
        <v>3772</v>
      </c>
      <c r="H37" s="139" t="s">
        <v>142</v>
      </c>
      <c r="I37" s="139">
        <v>926.19399999999996</v>
      </c>
      <c r="J37" s="139">
        <f t="shared" si="3"/>
        <v>4698.1939999999995</v>
      </c>
      <c r="K37" s="139">
        <f>J37/'[1]Форма 1'!R38</f>
        <v>0.52029066644085786</v>
      </c>
      <c r="L37" s="139">
        <v>1129.9749999999999</v>
      </c>
      <c r="M37" s="139" t="s">
        <v>142</v>
      </c>
      <c r="N37" s="139">
        <v>279.71199999999999</v>
      </c>
      <c r="O37" s="143">
        <f t="shared" si="1"/>
        <v>1409.6869999999999</v>
      </c>
    </row>
    <row r="38" spans="1:15" ht="30" x14ac:dyDescent="0.25">
      <c r="A38" s="29">
        <v>32</v>
      </c>
      <c r="B38" s="71" t="s">
        <v>44</v>
      </c>
      <c r="C38" s="75">
        <v>44.1</v>
      </c>
      <c r="D38" s="139">
        <v>27582.959999999999</v>
      </c>
      <c r="E38" s="139">
        <v>65883.33</v>
      </c>
      <c r="F38" s="139">
        <f t="shared" si="0"/>
        <v>2.3885518450521626</v>
      </c>
      <c r="G38" s="139">
        <v>13345</v>
      </c>
      <c r="H38" s="139" t="s">
        <v>142</v>
      </c>
      <c r="I38" s="139">
        <v>1237.393</v>
      </c>
      <c r="J38" s="139">
        <f>SUM(G38:I38)</f>
        <v>14582.393</v>
      </c>
      <c r="K38" s="139">
        <f>J38/'[1]Форма 1'!R39</f>
        <v>0.58531525029931308</v>
      </c>
      <c r="L38" s="139">
        <v>3994.3229999999999</v>
      </c>
      <c r="M38" s="139" t="s">
        <v>142</v>
      </c>
      <c r="N38" s="139">
        <v>373.6943</v>
      </c>
      <c r="O38" s="143">
        <f t="shared" si="1"/>
        <v>4368.0172999999995</v>
      </c>
    </row>
    <row r="39" spans="1:15" ht="30" x14ac:dyDescent="0.25">
      <c r="A39" s="29">
        <v>33</v>
      </c>
      <c r="B39" s="71" t="s">
        <v>45</v>
      </c>
      <c r="C39" s="75">
        <v>35.6</v>
      </c>
      <c r="D39" s="139">
        <v>21485.72</v>
      </c>
      <c r="E39" s="139">
        <v>52816.67</v>
      </c>
      <c r="F39" s="139">
        <f t="shared" si="0"/>
        <v>2.4582220190898885</v>
      </c>
      <c r="G39" s="139">
        <v>8343.3150000000005</v>
      </c>
      <c r="H39" s="139" t="s">
        <v>142</v>
      </c>
      <c r="I39" s="139">
        <v>766.49699999999996</v>
      </c>
      <c r="J39" s="139">
        <f>SUM(G39:I39)</f>
        <v>9109.8119999999999</v>
      </c>
      <c r="K39" s="139">
        <f>J39/'[1]Форма 1'!R40</f>
        <v>0.61517799525647321</v>
      </c>
      <c r="L39" s="139">
        <v>2559.145</v>
      </c>
      <c r="M39" s="139" t="s">
        <v>142</v>
      </c>
      <c r="N39" s="139">
        <v>231.48</v>
      </c>
      <c r="O39" s="143">
        <f t="shared" si="1"/>
        <v>2790.625</v>
      </c>
    </row>
    <row r="40" spans="1:15" ht="30" x14ac:dyDescent="0.25">
      <c r="A40" s="29">
        <v>34</v>
      </c>
      <c r="B40" s="71" t="s">
        <v>46</v>
      </c>
      <c r="C40" s="75">
        <v>22.6</v>
      </c>
      <c r="D40" s="139">
        <v>20782.080000000002</v>
      </c>
      <c r="E40" s="139">
        <v>46241.67</v>
      </c>
      <c r="F40" s="139">
        <f t="shared" si="0"/>
        <v>2.2250741985402804</v>
      </c>
      <c r="G40" s="139">
        <v>5065.018</v>
      </c>
      <c r="H40" s="139" t="s">
        <v>142</v>
      </c>
      <c r="I40" s="139">
        <v>576.774</v>
      </c>
      <c r="J40" s="139">
        <f t="shared" ref="J40:J50" si="4">SUM(G40:I40)</f>
        <v>5641.7920000000004</v>
      </c>
      <c r="K40" s="139">
        <f>J40/'[1]Форма 1'!R41</f>
        <v>0.57375371512108309</v>
      </c>
      <c r="L40" s="139">
        <v>1528.5940000000001</v>
      </c>
      <c r="M40" s="139" t="s">
        <v>142</v>
      </c>
      <c r="N40" s="139">
        <v>174.18809999999999</v>
      </c>
      <c r="O40" s="143">
        <f t="shared" si="1"/>
        <v>1702.7821000000001</v>
      </c>
    </row>
    <row r="41" spans="1:15" ht="30" x14ac:dyDescent="0.25">
      <c r="A41" s="29">
        <v>35</v>
      </c>
      <c r="B41" s="62" t="s">
        <v>47</v>
      </c>
      <c r="C41" s="75">
        <v>60.9</v>
      </c>
      <c r="D41" s="139">
        <v>23383</v>
      </c>
      <c r="E41" s="139">
        <v>49250</v>
      </c>
      <c r="F41" s="139">
        <f t="shared" si="0"/>
        <v>2.1062310225377412</v>
      </c>
      <c r="G41" s="139">
        <v>14275.3</v>
      </c>
      <c r="H41" s="139" t="s">
        <v>142</v>
      </c>
      <c r="I41" s="139">
        <v>2474.61</v>
      </c>
      <c r="J41" s="139">
        <f t="shared" si="4"/>
        <v>16749.91</v>
      </c>
      <c r="K41" s="139">
        <f>J41/'[1]Форма 1'!R42</f>
        <v>0.53258799814834412</v>
      </c>
      <c r="L41" s="139">
        <v>4258.8419999999996</v>
      </c>
      <c r="M41" s="139" t="s">
        <v>142</v>
      </c>
      <c r="N41" s="139">
        <v>466.49984999999998</v>
      </c>
      <c r="O41" s="143">
        <f t="shared" si="1"/>
        <v>4725.3418499999998</v>
      </c>
    </row>
    <row r="42" spans="1:15" x14ac:dyDescent="0.25">
      <c r="A42" s="29">
        <v>36</v>
      </c>
      <c r="B42" s="62" t="s">
        <v>48</v>
      </c>
      <c r="C42" s="75">
        <v>24.9</v>
      </c>
      <c r="D42" s="139">
        <v>28063.59</v>
      </c>
      <c r="E42" s="139">
        <v>48075</v>
      </c>
      <c r="F42" s="139">
        <f t="shared" si="0"/>
        <v>1.7130737728138132</v>
      </c>
      <c r="G42" s="139">
        <v>7176</v>
      </c>
      <c r="H42" s="139" t="s">
        <v>142</v>
      </c>
      <c r="I42" s="139">
        <v>1047.1569999999999</v>
      </c>
      <c r="J42" s="139">
        <f t="shared" si="4"/>
        <v>8223.1569999999992</v>
      </c>
      <c r="K42" s="139">
        <f>J42/'[1]Форма 1'!R43</f>
        <v>0.6042129510569666</v>
      </c>
      <c r="L42" s="139">
        <v>2117.4879999999998</v>
      </c>
      <c r="M42" s="139" t="s">
        <v>142</v>
      </c>
      <c r="N42" s="139">
        <v>316.24239999999998</v>
      </c>
      <c r="O42" s="143">
        <f t="shared" si="1"/>
        <v>2433.7303999999999</v>
      </c>
    </row>
    <row r="43" spans="1:15" ht="30" x14ac:dyDescent="0.25">
      <c r="A43" s="29">
        <v>37</v>
      </c>
      <c r="B43" s="62" t="s">
        <v>49</v>
      </c>
      <c r="C43" s="75">
        <v>86.4</v>
      </c>
      <c r="D43" s="139">
        <v>31724.92</v>
      </c>
      <c r="E43" s="139">
        <v>73591.67</v>
      </c>
      <c r="F43" s="139">
        <f t="shared" si="0"/>
        <v>2.3196802387523752</v>
      </c>
      <c r="G43" s="139">
        <v>28342.639999999999</v>
      </c>
      <c r="H43" s="139"/>
      <c r="I43" s="139">
        <v>3366.2020000000002</v>
      </c>
      <c r="J43" s="139">
        <f t="shared" si="4"/>
        <v>31708.842000000001</v>
      </c>
      <c r="K43" s="139">
        <f>J43/'[1]Форма 1'!R44</f>
        <v>0.56122077358037425</v>
      </c>
      <c r="L43" s="139">
        <v>8493.24</v>
      </c>
      <c r="M43" s="139">
        <v>35.414349999999999</v>
      </c>
      <c r="N43" s="139">
        <v>1016.593</v>
      </c>
      <c r="O43" s="143">
        <f t="shared" si="1"/>
        <v>9545.2473499999996</v>
      </c>
    </row>
    <row r="44" spans="1:15" ht="30" x14ac:dyDescent="0.25">
      <c r="A44" s="29">
        <v>38</v>
      </c>
      <c r="B44" s="62" t="s">
        <v>50</v>
      </c>
      <c r="C44" s="75">
        <v>49.9</v>
      </c>
      <c r="D44" s="139">
        <v>26654.14</v>
      </c>
      <c r="E44" s="139">
        <v>69658.33</v>
      </c>
      <c r="F44" s="139">
        <f t="shared" si="0"/>
        <v>2.6134150267087968</v>
      </c>
      <c r="G44" s="139">
        <v>14516</v>
      </c>
      <c r="H44" s="139" t="s">
        <v>142</v>
      </c>
      <c r="I44" s="139">
        <v>1355.2840000000001</v>
      </c>
      <c r="J44" s="139">
        <f t="shared" si="4"/>
        <v>15871.284</v>
      </c>
      <c r="K44" s="139">
        <f>J44/'[1]Форма 1'!R45</f>
        <v>0.43009452115249774</v>
      </c>
      <c r="L44" s="139">
        <v>4333.6710000000003</v>
      </c>
      <c r="M44" s="139" t="s">
        <v>142</v>
      </c>
      <c r="N44" s="139">
        <v>409.29399999999998</v>
      </c>
      <c r="O44" s="143">
        <f t="shared" si="1"/>
        <v>4742.9650000000001</v>
      </c>
    </row>
    <row r="45" spans="1:15" x14ac:dyDescent="0.25">
      <c r="A45" s="29">
        <v>39</v>
      </c>
      <c r="B45" s="62" t="s">
        <v>51</v>
      </c>
      <c r="C45" s="75">
        <v>56.3</v>
      </c>
      <c r="D45" s="139">
        <v>29593.55</v>
      </c>
      <c r="E45" s="139">
        <v>61883.33</v>
      </c>
      <c r="F45" s="139">
        <f t="shared" si="0"/>
        <v>2.0911087044305265</v>
      </c>
      <c r="G45" s="139">
        <v>18209.68</v>
      </c>
      <c r="H45" s="139" t="s">
        <v>142</v>
      </c>
      <c r="I45" s="139">
        <v>1667.7809999999999</v>
      </c>
      <c r="J45" s="139">
        <f t="shared" si="4"/>
        <v>19877.460999999999</v>
      </c>
      <c r="K45" s="139">
        <f>J45/'[1]Форма 1'!R46</f>
        <v>0.56229388117675627</v>
      </c>
      <c r="L45" s="139">
        <v>5450.11</v>
      </c>
      <c r="M45" s="139" t="s">
        <v>142</v>
      </c>
      <c r="N45" s="139">
        <v>503.67110000000002</v>
      </c>
      <c r="O45" s="143">
        <f t="shared" si="1"/>
        <v>5953.7811000000002</v>
      </c>
    </row>
    <row r="46" spans="1:15" ht="30" x14ac:dyDescent="0.25">
      <c r="A46" s="29">
        <v>40</v>
      </c>
      <c r="B46" s="62" t="s">
        <v>52</v>
      </c>
      <c r="C46" s="75">
        <v>37.1</v>
      </c>
      <c r="D46" s="139">
        <v>34838.269999999997</v>
      </c>
      <c r="E46" s="139">
        <v>52316.666666666664</v>
      </c>
      <c r="F46" s="139">
        <f t="shared" si="0"/>
        <v>1.5017010507888786</v>
      </c>
      <c r="G46" s="139">
        <v>12687</v>
      </c>
      <c r="H46" s="139" t="s">
        <v>142</v>
      </c>
      <c r="I46" s="139">
        <v>1487.164</v>
      </c>
      <c r="J46" s="139">
        <f t="shared" si="4"/>
        <v>14174.164000000001</v>
      </c>
      <c r="K46" s="139">
        <f>J46/'[1]Форма 1'!R47</f>
        <v>0.61185493351041953</v>
      </c>
      <c r="L46" s="139">
        <v>3814.7420000000002</v>
      </c>
      <c r="M46" s="139" t="s">
        <v>142</v>
      </c>
      <c r="N46" s="139">
        <v>449.1223</v>
      </c>
      <c r="O46" s="143">
        <f t="shared" si="1"/>
        <v>4263.8643000000002</v>
      </c>
    </row>
    <row r="47" spans="1:15" x14ac:dyDescent="0.25">
      <c r="A47" s="29">
        <v>41</v>
      </c>
      <c r="B47" s="62" t="s">
        <v>53</v>
      </c>
      <c r="C47" s="75">
        <v>37.1</v>
      </c>
      <c r="D47" s="139">
        <v>21919.81</v>
      </c>
      <c r="E47" s="139">
        <v>18566.669999999998</v>
      </c>
      <c r="F47" s="139">
        <f t="shared" si="0"/>
        <v>0.84702695871907641</v>
      </c>
      <c r="G47" s="139">
        <v>8835</v>
      </c>
      <c r="H47" s="139" t="s">
        <v>142</v>
      </c>
      <c r="I47" s="139">
        <v>1126.2360000000001</v>
      </c>
      <c r="J47" s="139">
        <f t="shared" si="4"/>
        <v>9961.2360000000008</v>
      </c>
      <c r="K47" s="139">
        <f>J47/'[1]Форма 1'!R48</f>
        <v>0.57553053218565131</v>
      </c>
      <c r="L47" s="139">
        <v>339.86660000000001</v>
      </c>
      <c r="M47" s="139" t="s">
        <v>142</v>
      </c>
      <c r="N47" s="139">
        <v>193.95410000000001</v>
      </c>
      <c r="O47" s="143">
        <f t="shared" si="1"/>
        <v>533.82069999999999</v>
      </c>
    </row>
    <row r="48" spans="1:15" x14ac:dyDescent="0.25">
      <c r="A48" s="29">
        <v>42</v>
      </c>
      <c r="B48" s="62" t="s">
        <v>54</v>
      </c>
      <c r="C48" s="75">
        <v>44.6</v>
      </c>
      <c r="D48" s="139">
        <v>19491.22</v>
      </c>
      <c r="E48" s="139">
        <v>40416.67</v>
      </c>
      <c r="F48" s="139">
        <f t="shared" si="0"/>
        <v>2.0735833878023024</v>
      </c>
      <c r="G48" s="139">
        <v>9186.74</v>
      </c>
      <c r="H48" s="139" t="s">
        <v>142</v>
      </c>
      <c r="I48" s="139">
        <v>1250.8579999999999</v>
      </c>
      <c r="J48" s="139">
        <f t="shared" si="4"/>
        <v>10437.598</v>
      </c>
      <c r="K48" s="139">
        <f>J48/'[1]Форма 1'!R49</f>
        <v>0.41528298658772883</v>
      </c>
      <c r="L48" s="139">
        <v>2741.8580000000002</v>
      </c>
      <c r="M48" s="139" t="s">
        <v>142</v>
      </c>
      <c r="N48" s="139">
        <v>377.762</v>
      </c>
      <c r="O48" s="143">
        <f t="shared" si="1"/>
        <v>3119.6200000000003</v>
      </c>
    </row>
    <row r="49" spans="1:15" ht="30" x14ac:dyDescent="0.25">
      <c r="A49" s="29">
        <v>43</v>
      </c>
      <c r="B49" s="62" t="s">
        <v>55</v>
      </c>
      <c r="C49" s="75">
        <v>34.9</v>
      </c>
      <c r="D49" s="139">
        <v>17687.919999999998</v>
      </c>
      <c r="E49" s="139">
        <v>37075</v>
      </c>
      <c r="F49" s="139">
        <f t="shared" si="0"/>
        <v>2.0960633019597559</v>
      </c>
      <c r="G49" s="139">
        <v>6368.5959999999995</v>
      </c>
      <c r="H49" s="139" t="s">
        <v>142</v>
      </c>
      <c r="I49" s="139">
        <v>1021.254</v>
      </c>
      <c r="J49" s="139">
        <f t="shared" si="4"/>
        <v>7389.8499999999995</v>
      </c>
      <c r="K49" s="139">
        <f>J49/'[1]Форма 1'!R50</f>
        <v>0.31592571533617486</v>
      </c>
      <c r="L49" s="139">
        <v>1908.489</v>
      </c>
      <c r="M49" s="139" t="s">
        <v>142</v>
      </c>
      <c r="N49" s="139">
        <v>308.41829999999999</v>
      </c>
      <c r="O49" s="143">
        <f t="shared" si="1"/>
        <v>2216.9072999999999</v>
      </c>
    </row>
    <row r="50" spans="1:15" x14ac:dyDescent="0.25">
      <c r="A50" s="29">
        <v>44</v>
      </c>
      <c r="B50" s="62" t="s">
        <v>56</v>
      </c>
      <c r="C50" s="75">
        <v>28.4</v>
      </c>
      <c r="D50" s="139">
        <v>27141.14</v>
      </c>
      <c r="E50" s="139">
        <v>44712.959999999999</v>
      </c>
      <c r="F50" s="139">
        <f t="shared" si="0"/>
        <v>1.6474238001793586</v>
      </c>
      <c r="G50" s="139">
        <v>8419</v>
      </c>
      <c r="H50" s="139" t="s">
        <v>142</v>
      </c>
      <c r="I50" s="139">
        <v>823.34100000000001</v>
      </c>
      <c r="J50" s="139">
        <f t="shared" si="4"/>
        <v>9242.3410000000003</v>
      </c>
      <c r="K50" s="139">
        <f>J50/'[1]Форма 1'!R51</f>
        <v>0.58970819959163578</v>
      </c>
      <c r="L50" s="139">
        <v>2530.277</v>
      </c>
      <c r="M50" s="139" t="s">
        <v>142</v>
      </c>
      <c r="N50" s="139">
        <v>248.6498</v>
      </c>
      <c r="O50" s="143">
        <f t="shared" si="1"/>
        <v>2778.9268000000002</v>
      </c>
    </row>
    <row r="51" spans="1:15" ht="30" x14ac:dyDescent="0.25">
      <c r="A51" s="29">
        <v>45</v>
      </c>
      <c r="B51" s="62" t="s">
        <v>57</v>
      </c>
      <c r="C51" s="75">
        <v>29.5</v>
      </c>
      <c r="D51" s="139">
        <v>28055.93</v>
      </c>
      <c r="E51" s="139">
        <v>48433.33</v>
      </c>
      <c r="F51" s="139">
        <f t="shared" si="0"/>
        <v>1.7263134745488744</v>
      </c>
      <c r="G51" s="139">
        <v>8898.9560000000001</v>
      </c>
      <c r="H51" s="139" t="s">
        <v>142</v>
      </c>
      <c r="I51" s="139">
        <v>914.38099999999997</v>
      </c>
      <c r="J51" s="139">
        <f>SUM(G51:I51)</f>
        <v>9813.3369999999995</v>
      </c>
      <c r="K51" s="139">
        <f>J51/'[1]Форма 1'!R52</f>
        <v>0.59212458505789045</v>
      </c>
      <c r="L51" s="139">
        <v>2697.556</v>
      </c>
      <c r="M51" s="139" t="s">
        <v>142</v>
      </c>
      <c r="N51" s="139">
        <v>276.13889999999998</v>
      </c>
      <c r="O51" s="143">
        <f t="shared" si="1"/>
        <v>2973.6949</v>
      </c>
    </row>
    <row r="52" spans="1:15" x14ac:dyDescent="0.25">
      <c r="A52" s="29">
        <v>46</v>
      </c>
      <c r="B52" s="62" t="s">
        <v>58</v>
      </c>
      <c r="C52" s="75">
        <v>27.2</v>
      </c>
      <c r="D52" s="139">
        <v>21170.65</v>
      </c>
      <c r="E52" s="139">
        <v>40683.33</v>
      </c>
      <c r="F52" s="139">
        <f t="shared" si="0"/>
        <v>1.9216854465970576</v>
      </c>
      <c r="G52" s="139">
        <v>6075.3490000000002</v>
      </c>
      <c r="H52" s="139" t="s">
        <v>142</v>
      </c>
      <c r="I52" s="139">
        <v>790.90899999999999</v>
      </c>
      <c r="J52" s="139">
        <f>SUM(G52:I52)</f>
        <v>6866.2579999999998</v>
      </c>
      <c r="K52" s="139">
        <f>J52/'[1]Форма 1'!R53</f>
        <v>0.47462987532742146</v>
      </c>
      <c r="L52" s="139">
        <v>1823.825</v>
      </c>
      <c r="M52" s="139" t="s">
        <v>142</v>
      </c>
      <c r="N52" s="139">
        <v>238.8526</v>
      </c>
      <c r="O52" s="143">
        <f>SUM(L52:N52)</f>
        <v>2062.6776</v>
      </c>
    </row>
    <row r="53" spans="1:15" ht="30" x14ac:dyDescent="0.25">
      <c r="A53" s="29">
        <v>47</v>
      </c>
      <c r="B53" s="62" t="s">
        <v>59</v>
      </c>
      <c r="C53" s="75">
        <v>30.7</v>
      </c>
      <c r="D53" s="139">
        <v>25423.45</v>
      </c>
      <c r="E53" s="139">
        <v>61958.33</v>
      </c>
      <c r="F53" s="139">
        <f t="shared" si="0"/>
        <v>2.4370543730296244</v>
      </c>
      <c r="G53" s="139">
        <v>8310.6630000000005</v>
      </c>
      <c r="H53" s="139" t="s">
        <v>142</v>
      </c>
      <c r="I53" s="139">
        <v>1008.32</v>
      </c>
      <c r="J53" s="139">
        <f t="shared" ref="J53" si="5">SUM(G53:I53)</f>
        <v>9318.9830000000002</v>
      </c>
      <c r="K53" s="139">
        <f>J53/'[1]Форма 1'!R54</f>
        <v>0.59908905382778999</v>
      </c>
      <c r="L53" s="139">
        <v>2498.6179999999999</v>
      </c>
      <c r="M53" s="139" t="s">
        <v>142</v>
      </c>
      <c r="N53" s="139">
        <v>304.5147</v>
      </c>
      <c r="O53" s="143">
        <f t="shared" si="1"/>
        <v>2803.1327000000001</v>
      </c>
    </row>
    <row r="54" spans="1:15" ht="30" x14ac:dyDescent="0.25">
      <c r="A54" s="29">
        <v>48</v>
      </c>
      <c r="B54" s="62" t="s">
        <v>60</v>
      </c>
      <c r="C54" s="75">
        <v>16.5</v>
      </c>
      <c r="D54" s="139">
        <v>25596.97</v>
      </c>
      <c r="E54" s="139">
        <v>36300</v>
      </c>
      <c r="F54" s="139">
        <f t="shared" si="0"/>
        <v>1.4181365997616124</v>
      </c>
      <c r="G54" s="139">
        <v>4509.8829999999998</v>
      </c>
      <c r="H54" s="139" t="s">
        <v>142</v>
      </c>
      <c r="I54" s="139">
        <v>507.31009999999998</v>
      </c>
      <c r="J54" s="139">
        <f>SUM(G54:I54)</f>
        <v>5017.1930999999995</v>
      </c>
      <c r="K54" s="139">
        <f>J54/'[1]Форма 1'!R55</f>
        <v>0.29458302968067784</v>
      </c>
      <c r="L54" s="139">
        <v>1362.597</v>
      </c>
      <c r="M54" s="139" t="s">
        <v>142</v>
      </c>
      <c r="N54" s="139">
        <v>171.18270000000001</v>
      </c>
      <c r="O54" s="143">
        <f t="shared" si="1"/>
        <v>1533.7797</v>
      </c>
    </row>
    <row r="55" spans="1:15" ht="30" x14ac:dyDescent="0.25">
      <c r="A55" s="29">
        <v>49</v>
      </c>
      <c r="B55" s="62" t="s">
        <v>61</v>
      </c>
      <c r="C55" s="75">
        <v>31.4</v>
      </c>
      <c r="D55" s="139">
        <v>19065.29</v>
      </c>
      <c r="E55" s="139">
        <v>32321.43</v>
      </c>
      <c r="F55" s="139">
        <f t="shared" si="0"/>
        <v>1.6953023006731081</v>
      </c>
      <c r="G55" s="139">
        <v>6146</v>
      </c>
      <c r="H55" s="139" t="s">
        <v>142</v>
      </c>
      <c r="I55" s="139">
        <v>1116.327</v>
      </c>
      <c r="J55" s="139">
        <f>SUM(G55:I55)</f>
        <v>7262.3270000000002</v>
      </c>
      <c r="K55" s="139">
        <f>J55/'[1]Форма 1'!R56</f>
        <v>0.57382540969761564</v>
      </c>
      <c r="L55" s="139">
        <v>1827.6389999999999</v>
      </c>
      <c r="M55" s="139" t="s">
        <v>142</v>
      </c>
      <c r="N55" s="139">
        <v>337.12</v>
      </c>
      <c r="O55" s="143">
        <f t="shared" si="1"/>
        <v>2164.759</v>
      </c>
    </row>
    <row r="56" spans="1:15" x14ac:dyDescent="0.25">
      <c r="A56" s="29">
        <v>50</v>
      </c>
      <c r="B56" s="62" t="s">
        <v>62</v>
      </c>
      <c r="C56" s="75">
        <v>39</v>
      </c>
      <c r="D56" s="139">
        <v>23558.33</v>
      </c>
      <c r="E56" s="139">
        <v>46125</v>
      </c>
      <c r="F56" s="139">
        <f t="shared" si="0"/>
        <v>1.9579061843517769</v>
      </c>
      <c r="G56" s="139">
        <v>9789.6929999999993</v>
      </c>
      <c r="H56" s="139" t="s">
        <v>142</v>
      </c>
      <c r="I56" s="139">
        <v>1260.1479999999999</v>
      </c>
      <c r="J56" s="139">
        <f t="shared" ref="J56:J67" si="6">SUM(G56:I56)</f>
        <v>11049.840999999999</v>
      </c>
      <c r="K56" s="139">
        <f>J56/'[1]Форма 1'!R57</f>
        <v>0.59018629365427533</v>
      </c>
      <c r="L56" s="139">
        <v>2946.636</v>
      </c>
      <c r="M56" s="139" t="s">
        <v>142</v>
      </c>
      <c r="N56" s="139">
        <v>380.56659999999999</v>
      </c>
      <c r="O56" s="143">
        <f>SUM(L56:N56)</f>
        <v>3327.2026000000001</v>
      </c>
    </row>
    <row r="57" spans="1:15" x14ac:dyDescent="0.25">
      <c r="A57" s="29">
        <v>51</v>
      </c>
      <c r="B57" s="62" t="s">
        <v>63</v>
      </c>
      <c r="C57" s="75">
        <v>25.1</v>
      </c>
      <c r="D57" s="139">
        <v>21266.93</v>
      </c>
      <c r="E57" s="139">
        <v>41891.67</v>
      </c>
      <c r="F57" s="139">
        <f t="shared" si="0"/>
        <v>1.969803351964764</v>
      </c>
      <c r="G57" s="139">
        <v>5613.6790000000001</v>
      </c>
      <c r="H57" s="139" t="s">
        <v>142</v>
      </c>
      <c r="I57" s="139">
        <v>729.62599999999998</v>
      </c>
      <c r="J57" s="139">
        <f t="shared" si="6"/>
        <v>6343.3050000000003</v>
      </c>
      <c r="K57" s="139">
        <f>J57/'[1]Форма 1'!R58</f>
        <v>0.35480867653721598</v>
      </c>
      <c r="L57" s="139">
        <v>1720.3230000000001</v>
      </c>
      <c r="M57" s="139" t="s">
        <v>142</v>
      </c>
      <c r="N57" s="139">
        <v>220.3466</v>
      </c>
      <c r="O57" s="143">
        <f t="shared" si="1"/>
        <v>1940.6696000000002</v>
      </c>
    </row>
    <row r="58" spans="1:15" ht="30" x14ac:dyDescent="0.25">
      <c r="A58" s="29">
        <v>52</v>
      </c>
      <c r="B58" s="62" t="s">
        <v>64</v>
      </c>
      <c r="C58" s="75">
        <v>35.200000000000003</v>
      </c>
      <c r="D58" s="139">
        <v>24671.64</v>
      </c>
      <c r="E58" s="139">
        <v>52708.33</v>
      </c>
      <c r="F58" s="139">
        <f t="shared" si="0"/>
        <v>2.1363934460781691</v>
      </c>
      <c r="G58" s="139">
        <v>9407.51</v>
      </c>
      <c r="H58" s="139" t="s">
        <v>142</v>
      </c>
      <c r="I58" s="139">
        <v>1054.3589999999999</v>
      </c>
      <c r="J58" s="139">
        <f t="shared" si="6"/>
        <v>10461.869000000001</v>
      </c>
      <c r="K58" s="139">
        <f>J58/'[1]Форма 1'!R59</f>
        <v>0.61016221161382977</v>
      </c>
      <c r="L58" s="139">
        <v>2822.3910000000001</v>
      </c>
      <c r="M58" s="139" t="s">
        <v>142</v>
      </c>
      <c r="N58" s="139">
        <v>318.41489999999999</v>
      </c>
      <c r="O58" s="143">
        <f t="shared" si="1"/>
        <v>3140.8059000000003</v>
      </c>
    </row>
    <row r="59" spans="1:15" x14ac:dyDescent="0.25">
      <c r="A59" s="29">
        <v>53</v>
      </c>
      <c r="B59" s="62" t="s">
        <v>65</v>
      </c>
      <c r="C59" s="75">
        <v>37.5</v>
      </c>
      <c r="D59" s="139">
        <v>25626.22</v>
      </c>
      <c r="E59" s="139">
        <v>72041.67</v>
      </c>
      <c r="F59" s="139">
        <f t="shared" si="0"/>
        <v>2.8112484010517349</v>
      </c>
      <c r="G59" s="139">
        <v>10269</v>
      </c>
      <c r="H59" s="139" t="s">
        <v>142</v>
      </c>
      <c r="I59" s="139">
        <v>1164.2449999999999</v>
      </c>
      <c r="J59" s="139">
        <f t="shared" si="6"/>
        <v>11433.244999999999</v>
      </c>
      <c r="K59" s="139">
        <f>J59/'[1]Форма 1'!R60</f>
        <v>0.59516215012667206</v>
      </c>
      <c r="L59" s="139">
        <v>3085.1260000000002</v>
      </c>
      <c r="M59" s="139" t="s">
        <v>142</v>
      </c>
      <c r="N59" s="139">
        <v>351.55079999999998</v>
      </c>
      <c r="O59" s="143">
        <f t="shared" si="1"/>
        <v>3436.6768000000002</v>
      </c>
    </row>
    <row r="60" spans="1:15" ht="30" x14ac:dyDescent="0.25">
      <c r="A60" s="29">
        <v>54</v>
      </c>
      <c r="B60" s="62" t="s">
        <v>66</v>
      </c>
      <c r="C60" s="75">
        <v>37</v>
      </c>
      <c r="D60" s="139">
        <v>19185.14</v>
      </c>
      <c r="E60" s="139">
        <v>25464.29</v>
      </c>
      <c r="F60" s="139">
        <f t="shared" si="0"/>
        <v>1.3272923731596433</v>
      </c>
      <c r="G60" s="139">
        <v>7696</v>
      </c>
      <c r="H60" s="139" t="s">
        <v>142</v>
      </c>
      <c r="I60" s="139">
        <v>887.35389999999995</v>
      </c>
      <c r="J60" s="139">
        <f t="shared" si="6"/>
        <v>8583.3539000000001</v>
      </c>
      <c r="K60" s="139">
        <f>J60/'[1]Форма 1'!R61</f>
        <v>0.40673927466263854</v>
      </c>
      <c r="L60" s="139">
        <v>2305.54</v>
      </c>
      <c r="M60" s="139" t="s">
        <v>142</v>
      </c>
      <c r="N60" s="139">
        <v>267.98039999999997</v>
      </c>
      <c r="O60" s="143">
        <f t="shared" si="1"/>
        <v>2573.5203999999999</v>
      </c>
    </row>
    <row r="61" spans="1:15" ht="30" x14ac:dyDescent="0.25">
      <c r="A61" s="29">
        <v>55</v>
      </c>
      <c r="B61" s="62" t="s">
        <v>67</v>
      </c>
      <c r="C61" s="75">
        <v>37.9</v>
      </c>
      <c r="D61" s="139">
        <v>22704.71</v>
      </c>
      <c r="E61" s="139">
        <v>47366.67</v>
      </c>
      <c r="F61" s="139">
        <f t="shared" si="0"/>
        <v>2.0862045804592966</v>
      </c>
      <c r="G61" s="139">
        <v>9325</v>
      </c>
      <c r="H61" s="139" t="s">
        <v>142</v>
      </c>
      <c r="I61" s="139">
        <v>1027.0440000000001</v>
      </c>
      <c r="J61" s="139">
        <f t="shared" si="6"/>
        <v>10352.044</v>
      </c>
      <c r="K61" s="139">
        <f>J61/'[1]Форма 1'!R62</f>
        <v>0.53785658266894831</v>
      </c>
      <c r="L61" s="139">
        <v>2808.3090000000002</v>
      </c>
      <c r="M61" s="139" t="s">
        <v>142</v>
      </c>
      <c r="N61" s="139">
        <v>310.16879999999998</v>
      </c>
      <c r="O61" s="143">
        <f t="shared" si="1"/>
        <v>3118.4778000000001</v>
      </c>
    </row>
    <row r="62" spans="1:15" x14ac:dyDescent="0.25">
      <c r="A62" s="29">
        <v>56</v>
      </c>
      <c r="B62" s="62" t="s">
        <v>68</v>
      </c>
      <c r="C62" s="75">
        <v>19.399999999999999</v>
      </c>
      <c r="D62" s="139">
        <v>21724.66</v>
      </c>
      <c r="E62" s="139">
        <v>39291.67</v>
      </c>
      <c r="F62" s="139">
        <f t="shared" si="0"/>
        <v>1.808620710289597</v>
      </c>
      <c r="G62" s="139">
        <v>4603.942</v>
      </c>
      <c r="H62" s="139" t="s">
        <v>142</v>
      </c>
      <c r="I62" s="139">
        <v>485.89839999999998</v>
      </c>
      <c r="J62" s="139">
        <f t="shared" si="6"/>
        <v>5089.8404</v>
      </c>
      <c r="K62" s="139">
        <f>J62/'[1]Форма 1'!R63</f>
        <v>0.60614964648696679</v>
      </c>
      <c r="L62" s="139">
        <v>1413.165</v>
      </c>
      <c r="M62" s="139" t="s">
        <v>142</v>
      </c>
      <c r="N62" s="139">
        <v>146.74369999999999</v>
      </c>
      <c r="O62" s="143">
        <f t="shared" si="1"/>
        <v>1559.9087</v>
      </c>
    </row>
    <row r="63" spans="1:15" ht="30" x14ac:dyDescent="0.25">
      <c r="A63" s="29">
        <v>57</v>
      </c>
      <c r="B63" s="62" t="s">
        <v>69</v>
      </c>
      <c r="C63" s="75">
        <v>22.2</v>
      </c>
      <c r="D63" s="139">
        <v>20894.52</v>
      </c>
      <c r="E63" s="139">
        <v>24229.17</v>
      </c>
      <c r="F63" s="139">
        <f t="shared" si="0"/>
        <v>1.1595944774036444</v>
      </c>
      <c r="G63" s="139">
        <v>4748</v>
      </c>
      <c r="H63" s="139" t="s">
        <v>142</v>
      </c>
      <c r="I63" s="139">
        <v>700.74599999999998</v>
      </c>
      <c r="J63" s="139">
        <f t="shared" si="6"/>
        <v>5448.7460000000001</v>
      </c>
      <c r="K63" s="139">
        <f>J63/'[1]Форма 1'!R64</f>
        <v>0.27068375312694609</v>
      </c>
      <c r="L63" s="139">
        <v>1433.17</v>
      </c>
      <c r="M63" s="139" t="s">
        <v>142</v>
      </c>
      <c r="N63" s="139">
        <v>211.62450000000001</v>
      </c>
      <c r="O63" s="143">
        <f t="shared" si="1"/>
        <v>1644.7945</v>
      </c>
    </row>
    <row r="64" spans="1:15" x14ac:dyDescent="0.25">
      <c r="A64" s="29">
        <v>58</v>
      </c>
      <c r="B64" s="62" t="s">
        <v>70</v>
      </c>
      <c r="C64" s="75">
        <v>11</v>
      </c>
      <c r="D64" s="139">
        <v>19731.82</v>
      </c>
      <c r="E64" s="139">
        <v>30047</v>
      </c>
      <c r="F64" s="139">
        <f t="shared" si="0"/>
        <v>1.5227688069321532</v>
      </c>
      <c r="G64" s="139">
        <v>1668.6679999999999</v>
      </c>
      <c r="H64" s="139" t="s">
        <v>142</v>
      </c>
      <c r="I64" s="139">
        <v>950.29110000000003</v>
      </c>
      <c r="J64" s="139">
        <f t="shared" si="6"/>
        <v>2618.9591</v>
      </c>
      <c r="K64" s="139">
        <f>J64/'[1]Форма 1'!R65</f>
        <v>0.74574389637885341</v>
      </c>
      <c r="L64" s="139">
        <v>499.01679999999999</v>
      </c>
      <c r="M64" s="139" t="s">
        <v>142</v>
      </c>
      <c r="N64" s="139">
        <v>286.98349999999999</v>
      </c>
      <c r="O64" s="143">
        <f t="shared" si="1"/>
        <v>786.00029999999992</v>
      </c>
    </row>
    <row r="65" spans="1:18" x14ac:dyDescent="0.25">
      <c r="A65" s="29">
        <v>59</v>
      </c>
      <c r="B65" s="62" t="s">
        <v>71</v>
      </c>
      <c r="C65" s="75">
        <v>14.2</v>
      </c>
      <c r="D65" s="139">
        <v>21305.16</v>
      </c>
      <c r="E65" s="139">
        <v>28650.000000000004</v>
      </c>
      <c r="F65" s="139">
        <f t="shared" si="0"/>
        <v>1.3447446534079071</v>
      </c>
      <c r="G65" s="139">
        <v>2231.444</v>
      </c>
      <c r="H65" s="139" t="s">
        <v>142</v>
      </c>
      <c r="I65" s="139">
        <v>1406.067</v>
      </c>
      <c r="J65" s="139">
        <f t="shared" si="6"/>
        <v>3637.511</v>
      </c>
      <c r="K65" s="139">
        <f>J65/'[1]Форма 1'!R66</f>
        <v>0.76490740353371856</v>
      </c>
      <c r="L65" s="139">
        <v>671.78510000000006</v>
      </c>
      <c r="M65" s="139" t="s">
        <v>142</v>
      </c>
      <c r="N65" s="139">
        <v>424.62540000000001</v>
      </c>
      <c r="O65" s="143">
        <f t="shared" si="1"/>
        <v>1096.4105</v>
      </c>
    </row>
    <row r="66" spans="1:18" x14ac:dyDescent="0.25">
      <c r="A66" s="29">
        <v>60</v>
      </c>
      <c r="B66" s="62" t="s">
        <v>72</v>
      </c>
      <c r="C66" s="75">
        <v>19.399999999999999</v>
      </c>
      <c r="D66" s="139">
        <v>17220.36</v>
      </c>
      <c r="E66" s="139">
        <v>33891.67</v>
      </c>
      <c r="F66" s="139">
        <f t="shared" si="0"/>
        <v>1.9681162298581445</v>
      </c>
      <c r="G66" s="139">
        <v>2630.1190000000001</v>
      </c>
      <c r="H66" s="139" t="s">
        <v>142</v>
      </c>
      <c r="I66" s="139">
        <v>1383.9280000000001</v>
      </c>
      <c r="J66" s="139">
        <f t="shared" si="6"/>
        <v>4014.0470000000005</v>
      </c>
      <c r="K66" s="139">
        <f>J66/'[1]Форма 1'!R67</f>
        <v>0.69739246568206004</v>
      </c>
      <c r="L66" s="139">
        <v>792.7808</v>
      </c>
      <c r="M66" s="139" t="s">
        <v>142</v>
      </c>
      <c r="N66" s="139">
        <v>417.94</v>
      </c>
      <c r="O66" s="143">
        <f t="shared" si="1"/>
        <v>1210.7208000000001</v>
      </c>
    </row>
    <row r="67" spans="1:18" x14ac:dyDescent="0.25">
      <c r="A67" s="29">
        <v>61</v>
      </c>
      <c r="B67" s="62" t="s">
        <v>73</v>
      </c>
      <c r="C67" s="75">
        <v>9.9</v>
      </c>
      <c r="D67" s="139">
        <v>17479.8</v>
      </c>
      <c r="E67" s="139">
        <v>28791.67</v>
      </c>
      <c r="F67" s="139">
        <f t="shared" si="0"/>
        <v>1.647139555372487</v>
      </c>
      <c r="G67" s="139">
        <v>1565.982</v>
      </c>
      <c r="H67" s="139" t="s">
        <v>142</v>
      </c>
      <c r="I67" s="139">
        <v>514.23249999999996</v>
      </c>
      <c r="J67" s="139">
        <f t="shared" si="6"/>
        <v>2080.2145</v>
      </c>
      <c r="K67" s="139">
        <f>J67/'[1]Форма 1'!R68</f>
        <v>0.55040458211980969</v>
      </c>
      <c r="L67" s="139">
        <v>471.84129999999999</v>
      </c>
      <c r="M67" s="139" t="s">
        <v>142</v>
      </c>
      <c r="N67" s="139">
        <v>155.2955</v>
      </c>
      <c r="O67" s="143">
        <f t="shared" si="1"/>
        <v>627.13679999999999</v>
      </c>
    </row>
    <row r="68" spans="1:18" x14ac:dyDescent="0.25">
      <c r="A68" s="29">
        <v>62</v>
      </c>
      <c r="B68" s="62" t="s">
        <v>74</v>
      </c>
      <c r="C68" s="75">
        <v>17</v>
      </c>
      <c r="D68" s="139">
        <v>16997.55</v>
      </c>
      <c r="E68" s="139">
        <v>32258.33</v>
      </c>
      <c r="F68" s="139">
        <f t="shared" si="0"/>
        <v>1.897822333218611</v>
      </c>
      <c r="G68" s="139">
        <v>2364.7469999999998</v>
      </c>
      <c r="H68" s="139" t="s">
        <v>142</v>
      </c>
      <c r="I68" s="139">
        <v>1103.3900000000001</v>
      </c>
      <c r="J68" s="139">
        <f>SUM(G68:I68)</f>
        <v>3468.1369999999997</v>
      </c>
      <c r="K68" s="139">
        <f>J68/'[1]Форма 1'!R69</f>
        <v>0.73228833103381774</v>
      </c>
      <c r="L68" s="139">
        <v>713.94129999999996</v>
      </c>
      <c r="M68" s="139" t="s">
        <v>142</v>
      </c>
      <c r="N68" s="139">
        <v>333.21859999999998</v>
      </c>
      <c r="O68" s="143">
        <f t="shared" si="1"/>
        <v>1047.1598999999999</v>
      </c>
    </row>
    <row r="69" spans="1:18" ht="30" x14ac:dyDescent="0.25">
      <c r="A69" s="29">
        <v>63</v>
      </c>
      <c r="B69" s="62" t="s">
        <v>75</v>
      </c>
      <c r="C69" s="75">
        <v>4.5</v>
      </c>
      <c r="D69" s="139">
        <v>22214.81</v>
      </c>
      <c r="E69" s="139">
        <v>31375</v>
      </c>
      <c r="F69" s="139">
        <f t="shared" si="0"/>
        <v>1.4123460880376648</v>
      </c>
      <c r="G69" s="139">
        <v>936.39440000000002</v>
      </c>
      <c r="H69" s="139" t="s">
        <v>142</v>
      </c>
      <c r="I69" s="139">
        <v>267.29559999999998</v>
      </c>
      <c r="J69" s="139">
        <f>SUM(G69:I69)</f>
        <v>1203.69</v>
      </c>
      <c r="K69" s="139">
        <f>J69/'[1]Форма 1'!R70</f>
        <v>0.79539845253836439</v>
      </c>
      <c r="L69" s="139">
        <v>281.56880000000001</v>
      </c>
      <c r="M69" s="139" t="s">
        <v>142</v>
      </c>
      <c r="N69" s="139">
        <v>80.722189999999998</v>
      </c>
      <c r="O69" s="143">
        <f>SUM(L69:N69)</f>
        <v>362.29099000000002</v>
      </c>
    </row>
    <row r="70" spans="1:18" x14ac:dyDescent="0.25">
      <c r="A70" s="29">
        <v>64</v>
      </c>
      <c r="B70" s="62" t="s">
        <v>76</v>
      </c>
      <c r="C70" s="75">
        <v>16.5</v>
      </c>
      <c r="D70" s="139">
        <v>21183.33</v>
      </c>
      <c r="E70" s="139">
        <v>32808.33</v>
      </c>
      <c r="F70" s="139">
        <f t="shared" si="0"/>
        <v>1.5487805741590204</v>
      </c>
      <c r="G70" s="139">
        <v>2352.8620000000001</v>
      </c>
      <c r="H70" s="139">
        <v>97.58</v>
      </c>
      <c r="I70" s="139">
        <v>1776.4949999999999</v>
      </c>
      <c r="J70" s="139">
        <f>SUM(G70:I70)</f>
        <v>4226.9369999999999</v>
      </c>
      <c r="K70" s="139">
        <f>J70/'[1]Форма 1'!R71</f>
        <v>0.48975277839345382</v>
      </c>
      <c r="L70" s="139">
        <v>705.44</v>
      </c>
      <c r="M70" s="139">
        <v>29.469159999999999</v>
      </c>
      <c r="N70" s="139">
        <v>536.49810000000002</v>
      </c>
      <c r="O70" s="143">
        <f>SUM(L70:N70)</f>
        <v>1271.40726</v>
      </c>
    </row>
    <row r="71" spans="1:18" ht="30" x14ac:dyDescent="0.25">
      <c r="A71" s="29">
        <v>65</v>
      </c>
      <c r="B71" s="62" t="s">
        <v>77</v>
      </c>
      <c r="C71" s="75">
        <v>9.4</v>
      </c>
      <c r="D71" s="139">
        <v>23798.76</v>
      </c>
      <c r="E71" s="139">
        <v>43700</v>
      </c>
      <c r="F71" s="139">
        <f t="shared" si="0"/>
        <v>1.836230122913967</v>
      </c>
      <c r="G71" s="139">
        <v>1599.664</v>
      </c>
      <c r="H71" s="139" t="s">
        <v>142</v>
      </c>
      <c r="I71" s="139">
        <v>1093.4480000000001</v>
      </c>
      <c r="J71" s="139">
        <f>SUM(G71:I71)</f>
        <v>2693.1120000000001</v>
      </c>
      <c r="K71" s="139">
        <f>J71/'[1]Форма 1'!R72</f>
        <v>0.76651200560622867</v>
      </c>
      <c r="L71" s="139">
        <v>481.55149999999998</v>
      </c>
      <c r="M71" s="139" t="s">
        <v>142</v>
      </c>
      <c r="N71" s="139">
        <v>330.21609999999998</v>
      </c>
      <c r="O71" s="143">
        <f>SUM(L71:N71)</f>
        <v>811.7675999999999</v>
      </c>
    </row>
    <row r="72" spans="1:18" x14ac:dyDescent="0.25">
      <c r="A72" s="29">
        <v>66</v>
      </c>
      <c r="B72" s="62" t="s">
        <v>78</v>
      </c>
      <c r="C72" s="75">
        <v>6</v>
      </c>
      <c r="D72" s="139">
        <v>19609.72</v>
      </c>
      <c r="E72" s="139">
        <v>32527.78</v>
      </c>
      <c r="F72" s="139">
        <f t="shared" ref="F72" si="7">E72/D72</f>
        <v>1.6587580036838872</v>
      </c>
      <c r="G72" s="139">
        <v>958.98500000000001</v>
      </c>
      <c r="H72" s="139" t="s">
        <v>142</v>
      </c>
      <c r="I72" s="139">
        <v>457.52</v>
      </c>
      <c r="J72" s="139">
        <f t="shared" ref="J72" si="8">SUM(G72:I72)</f>
        <v>1416.5050000000001</v>
      </c>
      <c r="K72" s="139">
        <f>J72/'[1]Форма 1'!R73</f>
        <v>0.75977967893846243</v>
      </c>
      <c r="L72" s="139">
        <v>287.95670000000001</v>
      </c>
      <c r="M72" s="139" t="s">
        <v>142</v>
      </c>
      <c r="N72" s="139">
        <v>138.44280000000001</v>
      </c>
      <c r="O72" s="143">
        <f>SUM(L72:N72)</f>
        <v>426.39949999999999</v>
      </c>
    </row>
    <row r="73" spans="1:18" s="38" customFormat="1" ht="60" x14ac:dyDescent="0.25">
      <c r="A73" s="29">
        <v>67</v>
      </c>
      <c r="B73" s="62" t="s">
        <v>149</v>
      </c>
      <c r="C73" s="53">
        <v>10</v>
      </c>
      <c r="D73" s="160">
        <v>18646.3</v>
      </c>
      <c r="E73" s="160">
        <v>48800</v>
      </c>
      <c r="F73" s="143">
        <f t="shared" ref="F73:F76" si="9">E73/D73</f>
        <v>2.6171412022760547</v>
      </c>
      <c r="G73" s="139">
        <v>2094.16</v>
      </c>
      <c r="H73" s="139">
        <v>0</v>
      </c>
      <c r="I73" s="139">
        <v>1044.43</v>
      </c>
      <c r="J73" s="143">
        <f t="shared" ref="J73:J78" si="10">SUM(G73:I73)</f>
        <v>3138.59</v>
      </c>
      <c r="K73" s="143">
        <f>J73/'Форма 1'!R74</f>
        <v>0.49614108624355691</v>
      </c>
      <c r="L73" s="139">
        <v>621.64</v>
      </c>
      <c r="M73" s="139">
        <v>0</v>
      </c>
      <c r="N73" s="139">
        <v>314.57</v>
      </c>
      <c r="O73" s="143">
        <f t="shared" ref="O73:O78" si="11">SUM(L73:N73)</f>
        <v>936.21</v>
      </c>
    </row>
    <row r="74" spans="1:18" ht="45" x14ac:dyDescent="0.25">
      <c r="A74" s="29">
        <v>68</v>
      </c>
      <c r="B74" s="62" t="s">
        <v>144</v>
      </c>
      <c r="C74" s="53">
        <v>9</v>
      </c>
      <c r="D74" s="160">
        <v>17782.29</v>
      </c>
      <c r="E74" s="160">
        <v>49608.33</v>
      </c>
      <c r="F74" s="143">
        <f t="shared" si="9"/>
        <v>2.7897604864165415</v>
      </c>
      <c r="G74" s="161">
        <v>2475.83</v>
      </c>
      <c r="H74" s="161">
        <v>0</v>
      </c>
      <c r="I74" s="161">
        <v>560.83000000000004</v>
      </c>
      <c r="J74" s="143">
        <f t="shared" si="10"/>
        <v>3036.66</v>
      </c>
      <c r="K74" s="143">
        <f>J74/'Форма 1'!R75</f>
        <v>0.60990295074400103</v>
      </c>
      <c r="L74" s="161">
        <v>745.8</v>
      </c>
      <c r="M74" s="162">
        <v>0</v>
      </c>
      <c r="N74" s="139">
        <v>169.37</v>
      </c>
      <c r="O74" s="143">
        <f t="shared" si="11"/>
        <v>915.17</v>
      </c>
    </row>
    <row r="75" spans="1:18" ht="60" x14ac:dyDescent="0.25">
      <c r="A75" s="29">
        <v>69</v>
      </c>
      <c r="B75" s="62" t="s">
        <v>145</v>
      </c>
      <c r="C75" s="53">
        <v>16</v>
      </c>
      <c r="D75" s="160">
        <v>17964.990000000002</v>
      </c>
      <c r="E75" s="160">
        <v>35033.33</v>
      </c>
      <c r="F75" s="143">
        <f t="shared" si="9"/>
        <v>1.950089034282791</v>
      </c>
      <c r="G75" s="160">
        <v>2995.55</v>
      </c>
      <c r="H75" s="160">
        <v>0</v>
      </c>
      <c r="I75" s="160">
        <v>943.87</v>
      </c>
      <c r="J75" s="143">
        <f t="shared" si="10"/>
        <v>3939.42</v>
      </c>
      <c r="K75" s="143">
        <f>J75/'Форма 1'!R76</f>
        <v>0.60610284648724</v>
      </c>
      <c r="L75" s="139">
        <v>900.76</v>
      </c>
      <c r="M75" s="139">
        <v>0</v>
      </c>
      <c r="N75" s="139">
        <v>284.93</v>
      </c>
      <c r="O75" s="143">
        <f t="shared" si="11"/>
        <v>1185.69</v>
      </c>
      <c r="R75" s="39"/>
    </row>
    <row r="76" spans="1:18" ht="45" x14ac:dyDescent="0.25">
      <c r="A76" s="29">
        <v>70</v>
      </c>
      <c r="B76" s="62" t="s">
        <v>146</v>
      </c>
      <c r="C76" s="53">
        <v>15</v>
      </c>
      <c r="D76" s="160">
        <v>21132.74</v>
      </c>
      <c r="E76" s="160">
        <v>49941.7</v>
      </c>
      <c r="F76" s="143">
        <f t="shared" si="9"/>
        <v>2.3632382738821369</v>
      </c>
      <c r="G76" s="160">
        <v>3279.91</v>
      </c>
      <c r="H76" s="160">
        <v>0</v>
      </c>
      <c r="I76" s="160">
        <v>1181.53</v>
      </c>
      <c r="J76" s="143">
        <f t="shared" si="10"/>
        <v>4461.4399999999996</v>
      </c>
      <c r="K76" s="143">
        <f>J76/'Форма 1'!R77</f>
        <v>0.64416987860382813</v>
      </c>
      <c r="L76" s="139">
        <v>983.38</v>
      </c>
      <c r="M76" s="139">
        <v>0</v>
      </c>
      <c r="N76" s="139">
        <v>356.82</v>
      </c>
      <c r="O76" s="143">
        <f t="shared" si="11"/>
        <v>1340.2</v>
      </c>
    </row>
    <row r="77" spans="1:18" ht="60" x14ac:dyDescent="0.25">
      <c r="A77" s="29">
        <v>71</v>
      </c>
      <c r="B77" s="62" t="s">
        <v>147</v>
      </c>
      <c r="C77" s="53">
        <v>22</v>
      </c>
      <c r="D77" s="160">
        <v>18724.599999999999</v>
      </c>
      <c r="E77" s="160">
        <v>40425</v>
      </c>
      <c r="F77" s="143">
        <f>E77/D77</f>
        <v>2.158924623222926</v>
      </c>
      <c r="G77" s="161">
        <v>4874.12</v>
      </c>
      <c r="H77" s="161">
        <v>0</v>
      </c>
      <c r="I77" s="161">
        <v>1538.39</v>
      </c>
      <c r="J77" s="143">
        <f t="shared" si="10"/>
        <v>6412.51</v>
      </c>
      <c r="K77" s="143">
        <f>J77/'Форма 1'!R78</f>
        <v>0.68285839437356388</v>
      </c>
      <c r="L77" s="139">
        <v>1469.35</v>
      </c>
      <c r="M77" s="139">
        <v>0</v>
      </c>
      <c r="N77" s="139">
        <v>465.31</v>
      </c>
      <c r="O77" s="143">
        <f t="shared" si="11"/>
        <v>1934.6599999999999</v>
      </c>
    </row>
    <row r="78" spans="1:18" x14ac:dyDescent="0.25">
      <c r="A78" s="29">
        <v>72</v>
      </c>
      <c r="B78" s="62" t="s">
        <v>148</v>
      </c>
      <c r="C78" s="52">
        <v>11</v>
      </c>
      <c r="D78" s="139">
        <v>5984.53</v>
      </c>
      <c r="E78" s="139">
        <v>26168.44</v>
      </c>
      <c r="F78" s="143">
        <f>E78/D78</f>
        <v>4.3726808955757592</v>
      </c>
      <c r="G78" s="139">
        <v>1104.1099999999999</v>
      </c>
      <c r="H78" s="139">
        <v>0</v>
      </c>
      <c r="I78" s="139">
        <v>0</v>
      </c>
      <c r="J78" s="143">
        <f t="shared" si="10"/>
        <v>1104.1099999999999</v>
      </c>
      <c r="K78" s="143">
        <f>J78/'Форма 1'!R79</f>
        <v>0.75314461118690312</v>
      </c>
      <c r="L78" s="139">
        <v>254.89</v>
      </c>
      <c r="M78" s="139">
        <v>0</v>
      </c>
      <c r="N78" s="139">
        <v>0</v>
      </c>
      <c r="O78" s="143">
        <f t="shared" si="11"/>
        <v>254.89</v>
      </c>
    </row>
    <row r="79" spans="1:18" x14ac:dyDescent="0.25">
      <c r="A79" s="5"/>
      <c r="B79" s="5" t="s">
        <v>130</v>
      </c>
      <c r="C79" s="54">
        <f>SUM(C7:C78)</f>
        <v>2203.1000000000004</v>
      </c>
      <c r="D79" s="17">
        <f>SUM(D7:D78)/72</f>
        <v>21371.397500000006</v>
      </c>
      <c r="E79" s="17">
        <f>SUM(E7:E78)/72</f>
        <v>39642.176481481481</v>
      </c>
      <c r="F79" s="144">
        <f>E79/D79</f>
        <v>1.8549173717573439</v>
      </c>
      <c r="G79" s="17">
        <f>SUM(G7:G78)</f>
        <v>509374.86339999997</v>
      </c>
      <c r="H79" s="17">
        <f>SUM(H7:H78)</f>
        <v>586.88141000000007</v>
      </c>
      <c r="I79" s="17">
        <f>SUM(I7:I78)</f>
        <v>89624.022599999982</v>
      </c>
      <c r="J79" s="144">
        <f>SUM(J7:J78)</f>
        <v>599585.76740999985</v>
      </c>
      <c r="K79" s="163">
        <f>J79/'Форма 1'!R80</f>
        <v>0.52345855943290243</v>
      </c>
      <c r="L79" s="17">
        <f>SUM(L7:L78)</f>
        <v>150547.34200000012</v>
      </c>
      <c r="M79" s="17">
        <f>SUM(M7:M78)</f>
        <v>212.78681999999998</v>
      </c>
      <c r="N79" s="17">
        <f>SUM(N7:N78)</f>
        <v>26657.214739999996</v>
      </c>
      <c r="O79" s="144">
        <f>SUM(O7:O78)</f>
        <v>177417.34356000001</v>
      </c>
    </row>
    <row r="80" spans="1:18" hidden="1" x14ac:dyDescent="0.25">
      <c r="C80" s="51">
        <v>83</v>
      </c>
      <c r="D80" s="138">
        <v>1392.16</v>
      </c>
      <c r="E80" s="138">
        <v>3471.9</v>
      </c>
      <c r="F80" s="142">
        <v>2.4900000000000002</v>
      </c>
      <c r="G80" s="138">
        <v>16823.68</v>
      </c>
      <c r="I80" s="138">
        <v>5269.05</v>
      </c>
      <c r="J80" s="142">
        <v>22092.73</v>
      </c>
      <c r="K80" s="142">
        <v>0.62</v>
      </c>
      <c r="L80" s="138">
        <v>4975.82</v>
      </c>
      <c r="N80" s="138">
        <v>1591</v>
      </c>
      <c r="O80" s="142">
        <v>6566.82</v>
      </c>
    </row>
    <row r="81" spans="3:15" s="66" customFormat="1" hidden="1" x14ac:dyDescent="0.25">
      <c r="C81" s="66">
        <f>2120.1+C80-C79</f>
        <v>0</v>
      </c>
      <c r="D81" s="138">
        <v>21795.53</v>
      </c>
      <c r="E81" s="138">
        <v>39458.480000000003</v>
      </c>
      <c r="F81" s="142"/>
      <c r="G81" s="138">
        <f>492551.18+G80-G79</f>
        <v>-3.3999999868683517E-3</v>
      </c>
      <c r="H81" s="138">
        <f>586.88-H79</f>
        <v>-1.410000000078071E-3</v>
      </c>
      <c r="I81" s="138">
        <f>84354.97+I80-I79</f>
        <v>-2.5999999779742211E-3</v>
      </c>
      <c r="J81" s="142">
        <f>577493.04+J80-J79</f>
        <v>2.5900001637637615E-3</v>
      </c>
      <c r="K81" s="142"/>
      <c r="L81" s="138">
        <f>145571.52+L80-L79</f>
        <v>-2.0000001240987331E-3</v>
      </c>
      <c r="M81" s="138">
        <f>212.79-M79</f>
        <v>3.1800000000146156E-3</v>
      </c>
      <c r="N81" s="138">
        <f>N80+25066.21-N79</f>
        <v>-4.7399999966728501E-3</v>
      </c>
      <c r="O81" s="142">
        <f>170850.52+O80-O79</f>
        <v>-3.5600000119302422E-3</v>
      </c>
    </row>
  </sheetData>
  <mergeCells count="10">
    <mergeCell ref="D2:J2"/>
    <mergeCell ref="K5:K6"/>
    <mergeCell ref="L5:O5"/>
    <mergeCell ref="A5:A6"/>
    <mergeCell ref="B5:B6"/>
    <mergeCell ref="C5:C6"/>
    <mergeCell ref="D5:D6"/>
    <mergeCell ref="E5:E6"/>
    <mergeCell ref="F5:F6"/>
    <mergeCell ref="G5:J5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2"/>
  <sheetViews>
    <sheetView zoomScale="78" zoomScaleNormal="78" workbookViewId="0">
      <pane xSplit="1" ySplit="6" topLeftCell="B70" activePane="bottomRight" state="frozen"/>
      <selection pane="topRight" activeCell="B1" sqref="B1"/>
      <selection pane="bottomLeft" activeCell="A8" sqref="A8"/>
      <selection pane="bottomRight" activeCell="H83" sqref="H83"/>
    </sheetView>
  </sheetViews>
  <sheetFormatPr defaultColWidth="9.140625" defaultRowHeight="15" x14ac:dyDescent="0.25"/>
  <cols>
    <col min="1" max="1" width="5" style="7" bestFit="1" customWidth="1"/>
    <col min="2" max="2" width="41.85546875" style="7" customWidth="1"/>
    <col min="3" max="3" width="17.140625" style="82" customWidth="1"/>
    <col min="4" max="4" width="17.7109375" style="82" customWidth="1"/>
    <col min="5" max="5" width="11.7109375" style="164" customWidth="1"/>
    <col min="6" max="6" width="15.85546875" style="82" customWidth="1"/>
    <col min="7" max="7" width="17.42578125" style="82" bestFit="1" customWidth="1"/>
    <col min="8" max="8" width="11.7109375" style="164" customWidth="1"/>
    <col min="9" max="9" width="17.5703125" style="82" customWidth="1"/>
    <col min="10" max="10" width="16.28515625" style="82" customWidth="1"/>
    <col min="11" max="11" width="12.140625" style="164" customWidth="1"/>
    <col min="12" max="12" width="20.140625" style="82" customWidth="1"/>
    <col min="13" max="13" width="13" style="7" customWidth="1"/>
    <col min="14" max="14" width="11" style="7" customWidth="1"/>
    <col min="15" max="15" width="9.28515625" style="7" bestFit="1" customWidth="1"/>
    <col min="16" max="16" width="14.42578125" style="7" customWidth="1"/>
    <col min="17" max="17" width="13.140625" style="7" customWidth="1"/>
    <col min="18" max="18" width="10.85546875" style="7" bestFit="1" customWidth="1"/>
    <col min="19" max="16384" width="9.140625" style="7"/>
  </cols>
  <sheetData>
    <row r="1" spans="1:64" ht="15.75" x14ac:dyDescent="0.25">
      <c r="R1" s="24" t="s">
        <v>139</v>
      </c>
    </row>
    <row r="2" spans="1:64" ht="24.75" customHeight="1" x14ac:dyDescent="0.25">
      <c r="D2" s="212" t="s">
        <v>152</v>
      </c>
      <c r="E2" s="212"/>
      <c r="F2" s="212"/>
      <c r="G2" s="212"/>
      <c r="H2" s="212"/>
      <c r="I2" s="212"/>
      <c r="J2" s="212"/>
    </row>
    <row r="5" spans="1:64" s="12" customFormat="1" ht="51" customHeight="1" x14ac:dyDescent="0.25">
      <c r="A5" s="195" t="s">
        <v>79</v>
      </c>
      <c r="B5" s="195" t="s">
        <v>87</v>
      </c>
      <c r="C5" s="217" t="s">
        <v>98</v>
      </c>
      <c r="D5" s="218"/>
      <c r="E5" s="219"/>
      <c r="F5" s="220" t="s">
        <v>133</v>
      </c>
      <c r="G5" s="220"/>
      <c r="H5" s="220"/>
      <c r="I5" s="220" t="s">
        <v>99</v>
      </c>
      <c r="J5" s="220"/>
      <c r="K5" s="220"/>
      <c r="L5" s="220" t="s">
        <v>100</v>
      </c>
      <c r="M5" s="195" t="s">
        <v>101</v>
      </c>
      <c r="N5" s="195"/>
      <c r="O5" s="195" t="s">
        <v>102</v>
      </c>
      <c r="P5" s="195" t="s">
        <v>103</v>
      </c>
      <c r="Q5" s="195"/>
      <c r="R5" s="195"/>
      <c r="S5" s="7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s="12" customFormat="1" ht="92.25" customHeight="1" x14ac:dyDescent="0.25">
      <c r="A6" s="195"/>
      <c r="B6" s="195"/>
      <c r="C6" s="139" t="s">
        <v>131</v>
      </c>
      <c r="D6" s="139" t="s">
        <v>104</v>
      </c>
      <c r="E6" s="143" t="s">
        <v>105</v>
      </c>
      <c r="F6" s="139" t="s">
        <v>143</v>
      </c>
      <c r="G6" s="139" t="s">
        <v>106</v>
      </c>
      <c r="H6" s="143" t="s">
        <v>105</v>
      </c>
      <c r="I6" s="139" t="s">
        <v>107</v>
      </c>
      <c r="J6" s="139" t="s">
        <v>106</v>
      </c>
      <c r="K6" s="143" t="s">
        <v>108</v>
      </c>
      <c r="L6" s="220"/>
      <c r="M6" s="3" t="s">
        <v>109</v>
      </c>
      <c r="N6" s="3" t="s">
        <v>110</v>
      </c>
      <c r="O6" s="195"/>
      <c r="P6" s="3" t="s">
        <v>111</v>
      </c>
      <c r="Q6" s="3" t="s">
        <v>112</v>
      </c>
      <c r="R6" s="3" t="s">
        <v>113</v>
      </c>
      <c r="S6" s="7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s="12" customFormat="1" ht="30" x14ac:dyDescent="0.25">
      <c r="A7" s="13">
        <v>1</v>
      </c>
      <c r="B7" s="62" t="s">
        <v>14</v>
      </c>
      <c r="C7" s="160">
        <v>448.89208000000002</v>
      </c>
      <c r="D7" s="160">
        <v>325.89665000000002</v>
      </c>
      <c r="E7" s="143">
        <f>((C7-D7)/C7)*100</f>
        <v>27.399777247128082</v>
      </c>
      <c r="F7" s="160">
        <v>5557.0585199999996</v>
      </c>
      <c r="G7" s="160">
        <v>1421.92435</v>
      </c>
      <c r="H7" s="143">
        <f>((F7-G7)/F7)*100</f>
        <v>74.412284036915267</v>
      </c>
      <c r="I7" s="160">
        <v>94.323999999999998</v>
      </c>
      <c r="J7" s="160">
        <v>0</v>
      </c>
      <c r="K7" s="143">
        <f>((I7-J7)/I7)*100</f>
        <v>100</v>
      </c>
      <c r="L7" s="160">
        <v>1529.7</v>
      </c>
      <c r="M7" s="61">
        <v>0</v>
      </c>
      <c r="N7" s="61">
        <v>0</v>
      </c>
      <c r="O7" s="77">
        <v>0</v>
      </c>
      <c r="P7" s="77">
        <v>0</v>
      </c>
      <c r="Q7" s="77">
        <v>0</v>
      </c>
      <c r="R7" s="77">
        <v>0</v>
      </c>
      <c r="S7" s="7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</row>
    <row r="8" spans="1:64" s="12" customFormat="1" ht="30" x14ac:dyDescent="0.25">
      <c r="A8" s="13">
        <v>2</v>
      </c>
      <c r="B8" s="62" t="s">
        <v>15</v>
      </c>
      <c r="C8" s="160">
        <v>5624.06041</v>
      </c>
      <c r="D8" s="160">
        <v>1332.86375</v>
      </c>
      <c r="E8" s="143">
        <f>((C8-D8)/C8)*100</f>
        <v>76.300685753124753</v>
      </c>
      <c r="F8" s="160">
        <v>2444.27171</v>
      </c>
      <c r="G8" s="160">
        <v>337.13871999999998</v>
      </c>
      <c r="H8" s="143">
        <f>((F8-G8)/F8)*100</f>
        <v>86.206986783805633</v>
      </c>
      <c r="I8" s="160">
        <v>35.344999999999999</v>
      </c>
      <c r="J8" s="160">
        <v>0</v>
      </c>
      <c r="K8" s="143">
        <f>((I8-J8)/I8)*100</f>
        <v>100</v>
      </c>
      <c r="L8" s="160">
        <v>897.11</v>
      </c>
      <c r="M8" s="61">
        <v>0</v>
      </c>
      <c r="N8" s="61">
        <v>0</v>
      </c>
      <c r="O8" s="77">
        <v>0</v>
      </c>
      <c r="P8" s="77">
        <v>0</v>
      </c>
      <c r="Q8" s="77">
        <v>0</v>
      </c>
      <c r="R8" s="77">
        <v>0</v>
      </c>
      <c r="S8" s="7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</row>
    <row r="9" spans="1:64" s="12" customFormat="1" ht="30" x14ac:dyDescent="0.25">
      <c r="A9" s="13">
        <v>3</v>
      </c>
      <c r="B9" s="62" t="s">
        <v>16</v>
      </c>
      <c r="C9" s="160">
        <v>1262.1927900000001</v>
      </c>
      <c r="D9" s="160">
        <v>292.75288</v>
      </c>
      <c r="E9" s="143">
        <f>((C9-D9)/C9)*100</f>
        <v>76.806009167585245</v>
      </c>
      <c r="F9" s="160">
        <v>3283.3564900000001</v>
      </c>
      <c r="G9" s="160">
        <v>404.44846000000001</v>
      </c>
      <c r="H9" s="143">
        <f>((F9-G9)/F9)*100</f>
        <v>87.681859669158243</v>
      </c>
      <c r="I9" s="160">
        <v>11</v>
      </c>
      <c r="J9" s="160">
        <v>0</v>
      </c>
      <c r="K9" s="143">
        <f>(I9-J9)/I9*100</f>
        <v>100</v>
      </c>
      <c r="L9" s="160">
        <v>1086</v>
      </c>
      <c r="M9" s="61">
        <v>205.29</v>
      </c>
      <c r="N9" s="61">
        <v>0</v>
      </c>
      <c r="O9" s="77">
        <v>0</v>
      </c>
      <c r="P9" s="77">
        <v>0</v>
      </c>
      <c r="Q9" s="77">
        <v>0</v>
      </c>
      <c r="R9" s="77">
        <v>0</v>
      </c>
      <c r="S9" s="7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s="12" customFormat="1" ht="30" x14ac:dyDescent="0.25">
      <c r="A10" s="13">
        <v>4</v>
      </c>
      <c r="B10" s="62" t="s">
        <v>17</v>
      </c>
      <c r="C10" s="160">
        <v>23181.586329999998</v>
      </c>
      <c r="D10" s="160">
        <v>2697.9268999999999</v>
      </c>
      <c r="E10" s="143">
        <f t="shared" ref="E10:E63" si="0">((C10-D10)/C10)*100</f>
        <v>88.361767561573089</v>
      </c>
      <c r="F10" s="160">
        <v>2306.1064700000002</v>
      </c>
      <c r="G10" s="160">
        <v>368.19175999999999</v>
      </c>
      <c r="H10" s="143">
        <f>((F10-G10)/F10)*100</f>
        <v>84.034051992404329</v>
      </c>
      <c r="I10" s="160">
        <v>362.56666999999999</v>
      </c>
      <c r="J10" s="160">
        <v>4.6399999999999997</v>
      </c>
      <c r="K10" s="143">
        <f t="shared" ref="K10:K73" si="1">((I10-J10)/I10)*100</f>
        <v>98.72023537078023</v>
      </c>
      <c r="L10" s="160">
        <v>1907.26</v>
      </c>
      <c r="M10" s="61">
        <v>0</v>
      </c>
      <c r="N10" s="61">
        <v>0</v>
      </c>
      <c r="O10" s="77">
        <v>0</v>
      </c>
      <c r="P10" s="77">
        <v>0</v>
      </c>
      <c r="Q10" s="77">
        <v>0</v>
      </c>
      <c r="R10" s="77">
        <v>0</v>
      </c>
      <c r="S10" s="7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64" s="12" customFormat="1" ht="30" x14ac:dyDescent="0.25">
      <c r="A11" s="13">
        <v>5</v>
      </c>
      <c r="B11" s="62" t="s">
        <v>18</v>
      </c>
      <c r="C11" s="160">
        <v>47187.571000000004</v>
      </c>
      <c r="D11" s="160">
        <v>42402.159939999998</v>
      </c>
      <c r="E11" s="143">
        <f t="shared" si="0"/>
        <v>10.141253212630939</v>
      </c>
      <c r="F11" s="160">
        <v>4838.2458900000001</v>
      </c>
      <c r="G11" s="160">
        <v>1078.3477700000001</v>
      </c>
      <c r="H11" s="143">
        <f t="shared" ref="H11:H32" si="2">((F11-G11)/F11)*100</f>
        <v>77.712009796178421</v>
      </c>
      <c r="I11" s="160">
        <v>43.256999999999998</v>
      </c>
      <c r="J11" s="160">
        <v>0</v>
      </c>
      <c r="K11" s="143">
        <f t="shared" si="1"/>
        <v>100</v>
      </c>
      <c r="L11" s="160">
        <v>2320.1999999999998</v>
      </c>
      <c r="M11" s="61">
        <v>0</v>
      </c>
      <c r="N11" s="61">
        <v>0</v>
      </c>
      <c r="O11" s="77">
        <v>0</v>
      </c>
      <c r="P11" s="77">
        <v>0</v>
      </c>
      <c r="Q11" s="77">
        <v>0</v>
      </c>
      <c r="R11" s="77">
        <v>0</v>
      </c>
      <c r="S11" s="7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64" ht="30" x14ac:dyDescent="0.25">
      <c r="A12" s="13">
        <v>6</v>
      </c>
      <c r="B12" s="62" t="s">
        <v>19</v>
      </c>
      <c r="C12" s="160">
        <v>842.63991999999996</v>
      </c>
      <c r="D12" s="160">
        <v>444.92610999999999</v>
      </c>
      <c r="E12" s="143">
        <f t="shared" si="0"/>
        <v>47.198548343164184</v>
      </c>
      <c r="F12" s="160">
        <v>2308.86922</v>
      </c>
      <c r="G12" s="160">
        <v>349.13519000000002</v>
      </c>
      <c r="H12" s="143">
        <f t="shared" si="2"/>
        <v>84.878520317404551</v>
      </c>
      <c r="I12" s="160">
        <v>23.395420000000001</v>
      </c>
      <c r="J12" s="160">
        <v>0</v>
      </c>
      <c r="K12" s="143">
        <f t="shared" si="1"/>
        <v>100</v>
      </c>
      <c r="L12" s="160">
        <v>1945.1</v>
      </c>
      <c r="M12" s="61">
        <v>0</v>
      </c>
      <c r="N12" s="61">
        <v>0</v>
      </c>
      <c r="O12" s="77">
        <v>0</v>
      </c>
      <c r="P12" s="77">
        <v>0</v>
      </c>
      <c r="Q12" s="77">
        <v>0</v>
      </c>
      <c r="R12" s="77">
        <v>0</v>
      </c>
    </row>
    <row r="13" spans="1:64" x14ac:dyDescent="0.25">
      <c r="A13" s="13">
        <v>7</v>
      </c>
      <c r="B13" s="62" t="s">
        <v>20</v>
      </c>
      <c r="C13" s="160">
        <v>4174.9146199999996</v>
      </c>
      <c r="D13" s="160">
        <v>1393.25245</v>
      </c>
      <c r="E13" s="143">
        <f t="shared" si="0"/>
        <v>66.628001364971624</v>
      </c>
      <c r="F13" s="160">
        <v>17307.868030000001</v>
      </c>
      <c r="G13" s="160">
        <v>5656.2606599999999</v>
      </c>
      <c r="H13" s="143">
        <f t="shared" si="2"/>
        <v>67.319714651186885</v>
      </c>
      <c r="I13" s="160">
        <v>275.02190000000002</v>
      </c>
      <c r="J13" s="160">
        <v>0</v>
      </c>
      <c r="K13" s="143">
        <f t="shared" si="1"/>
        <v>100</v>
      </c>
      <c r="L13" s="160">
        <v>2565.71</v>
      </c>
      <c r="M13" s="61">
        <v>0</v>
      </c>
      <c r="N13" s="61">
        <v>0</v>
      </c>
      <c r="O13" s="77">
        <v>0</v>
      </c>
      <c r="P13" s="77">
        <v>0</v>
      </c>
      <c r="Q13" s="77">
        <v>0</v>
      </c>
      <c r="R13" s="77">
        <v>0</v>
      </c>
    </row>
    <row r="14" spans="1:64" ht="30" x14ac:dyDescent="0.25">
      <c r="A14" s="13">
        <v>8</v>
      </c>
      <c r="B14" s="62" t="s">
        <v>21</v>
      </c>
      <c r="C14" s="160">
        <v>23481.763770000001</v>
      </c>
      <c r="D14" s="160">
        <v>172.26329999999999</v>
      </c>
      <c r="E14" s="143">
        <f t="shared" si="0"/>
        <v>99.266395396498794</v>
      </c>
      <c r="F14" s="160">
        <v>10297.876039999999</v>
      </c>
      <c r="G14" s="160">
        <v>2250.0240899999999</v>
      </c>
      <c r="H14" s="143">
        <f t="shared" si="2"/>
        <v>78.150600363995053</v>
      </c>
      <c r="I14" s="160">
        <v>45.97</v>
      </c>
      <c r="J14" s="160">
        <v>31.796029999999998</v>
      </c>
      <c r="K14" s="143">
        <f>((I14-J14)/I14)*100</f>
        <v>30.833086795736353</v>
      </c>
      <c r="L14" s="160">
        <v>2427</v>
      </c>
      <c r="M14" s="61">
        <v>0</v>
      </c>
      <c r="N14" s="61">
        <v>0</v>
      </c>
      <c r="O14" s="77">
        <v>0</v>
      </c>
      <c r="P14" s="77">
        <v>0</v>
      </c>
      <c r="Q14" s="77">
        <v>0</v>
      </c>
      <c r="R14" s="77">
        <v>0</v>
      </c>
    </row>
    <row r="15" spans="1:64" ht="30" x14ac:dyDescent="0.25">
      <c r="A15" s="13">
        <v>9</v>
      </c>
      <c r="B15" s="62" t="s">
        <v>22</v>
      </c>
      <c r="C15" s="160">
        <v>5585.21792</v>
      </c>
      <c r="D15" s="160">
        <v>0</v>
      </c>
      <c r="E15" s="143">
        <f t="shared" si="0"/>
        <v>100</v>
      </c>
      <c r="F15" s="160">
        <v>9217.8144799999991</v>
      </c>
      <c r="G15" s="160">
        <v>1941.8540800000001</v>
      </c>
      <c r="H15" s="143">
        <f>((F15-G15)/F15)*100</f>
        <v>78.93368233637959</v>
      </c>
      <c r="I15" s="160">
        <v>51.624000000000002</v>
      </c>
      <c r="J15" s="160">
        <v>0</v>
      </c>
      <c r="K15" s="143">
        <f t="shared" si="1"/>
        <v>100</v>
      </c>
      <c r="L15" s="160">
        <v>2625</v>
      </c>
      <c r="M15" s="61">
        <v>0</v>
      </c>
      <c r="N15" s="61">
        <v>0</v>
      </c>
      <c r="O15" s="77">
        <v>0</v>
      </c>
      <c r="P15" s="77">
        <v>0</v>
      </c>
      <c r="Q15" s="77">
        <v>0</v>
      </c>
      <c r="R15" s="77">
        <v>0</v>
      </c>
    </row>
    <row r="16" spans="1:64" ht="30" x14ac:dyDescent="0.25">
      <c r="A16" s="13">
        <v>10</v>
      </c>
      <c r="B16" s="62" t="s">
        <v>23</v>
      </c>
      <c r="C16" s="160">
        <v>18211.519219999998</v>
      </c>
      <c r="D16" s="160">
        <v>0</v>
      </c>
      <c r="E16" s="143">
        <f t="shared" si="0"/>
        <v>100</v>
      </c>
      <c r="F16" s="160">
        <v>8792.4964799999998</v>
      </c>
      <c r="G16" s="160">
        <v>2546.0374000000002</v>
      </c>
      <c r="H16" s="143">
        <f t="shared" si="2"/>
        <v>71.043066030320432</v>
      </c>
      <c r="I16" s="160">
        <v>45.03</v>
      </c>
      <c r="J16" s="160">
        <v>0</v>
      </c>
      <c r="K16" s="143">
        <f t="shared" si="1"/>
        <v>100</v>
      </c>
      <c r="L16" s="160">
        <v>1821.1</v>
      </c>
      <c r="M16" s="61">
        <v>0</v>
      </c>
      <c r="N16" s="61">
        <v>0</v>
      </c>
      <c r="O16" s="77">
        <v>0</v>
      </c>
      <c r="P16" s="77">
        <v>0</v>
      </c>
      <c r="Q16" s="77">
        <v>0</v>
      </c>
      <c r="R16" s="77">
        <v>0</v>
      </c>
    </row>
    <row r="17" spans="1:18" ht="30" x14ac:dyDescent="0.25">
      <c r="A17" s="13">
        <v>11</v>
      </c>
      <c r="B17" s="62" t="s">
        <v>24</v>
      </c>
      <c r="C17" s="160">
        <v>23966.967649999999</v>
      </c>
      <c r="D17" s="160">
        <v>11062.7592</v>
      </c>
      <c r="E17" s="143">
        <f t="shared" si="0"/>
        <v>53.84164003742876</v>
      </c>
      <c r="F17" s="160">
        <v>16508.017520000001</v>
      </c>
      <c r="G17" s="160">
        <v>10104.78147</v>
      </c>
      <c r="H17" s="143">
        <f t="shared" si="2"/>
        <v>38.788643410647417</v>
      </c>
      <c r="I17" s="160">
        <v>17.838000000000001</v>
      </c>
      <c r="J17" s="160">
        <v>0</v>
      </c>
      <c r="K17" s="143">
        <f t="shared" si="1"/>
        <v>100</v>
      </c>
      <c r="L17" s="160">
        <v>2530.6999999999998</v>
      </c>
      <c r="M17" s="61">
        <v>0</v>
      </c>
      <c r="N17" s="61">
        <v>0</v>
      </c>
      <c r="O17" s="77">
        <v>0</v>
      </c>
      <c r="P17" s="77">
        <v>0</v>
      </c>
      <c r="Q17" s="77">
        <v>0</v>
      </c>
      <c r="R17" s="77">
        <v>0</v>
      </c>
    </row>
    <row r="18" spans="1:18" ht="30" x14ac:dyDescent="0.25">
      <c r="A18" s="13">
        <v>12</v>
      </c>
      <c r="B18" s="62" t="s">
        <v>25</v>
      </c>
      <c r="C18" s="160">
        <v>21670.382180000001</v>
      </c>
      <c r="D18" s="160">
        <v>7838.8461399999997</v>
      </c>
      <c r="E18" s="143">
        <f t="shared" si="0"/>
        <v>63.826913273201903</v>
      </c>
      <c r="F18" s="160">
        <v>13120.892390000001</v>
      </c>
      <c r="G18" s="160">
        <v>1866.3432499999999</v>
      </c>
      <c r="H18" s="143">
        <f t="shared" si="2"/>
        <v>85.775790285252086</v>
      </c>
      <c r="I18" s="160">
        <v>118.99926000000001</v>
      </c>
      <c r="J18" s="160">
        <v>0</v>
      </c>
      <c r="K18" s="143">
        <f t="shared" si="1"/>
        <v>100</v>
      </c>
      <c r="L18" s="160">
        <v>4181.6000000000004</v>
      </c>
      <c r="M18" s="61">
        <v>0</v>
      </c>
      <c r="N18" s="61">
        <v>0</v>
      </c>
      <c r="O18" s="77">
        <v>0</v>
      </c>
      <c r="P18" s="77">
        <v>0</v>
      </c>
      <c r="Q18" s="77">
        <v>0</v>
      </c>
      <c r="R18" s="77">
        <v>0</v>
      </c>
    </row>
    <row r="19" spans="1:18" x14ac:dyDescent="0.25">
      <c r="A19" s="13">
        <v>13</v>
      </c>
      <c r="B19" s="62" t="s">
        <v>26</v>
      </c>
      <c r="C19" s="160">
        <v>199189.26225</v>
      </c>
      <c r="D19" s="160">
        <v>166162.62549999999</v>
      </c>
      <c r="E19" s="143">
        <f t="shared" si="0"/>
        <v>16.580530685709693</v>
      </c>
      <c r="F19" s="160">
        <v>19503.127929999999</v>
      </c>
      <c r="G19" s="160">
        <v>4522.7053900000001</v>
      </c>
      <c r="H19" s="143">
        <f t="shared" si="2"/>
        <v>76.810358798687332</v>
      </c>
      <c r="I19" s="160">
        <v>1731.5565999999999</v>
      </c>
      <c r="J19" s="160">
        <v>999.16629999999998</v>
      </c>
      <c r="K19" s="143">
        <f t="shared" si="1"/>
        <v>42.29664222353459</v>
      </c>
      <c r="L19" s="160">
        <v>7612.33</v>
      </c>
      <c r="M19" s="61">
        <v>0</v>
      </c>
      <c r="N19" s="61">
        <v>0</v>
      </c>
      <c r="O19" s="77">
        <v>0</v>
      </c>
      <c r="P19" s="77">
        <v>0</v>
      </c>
      <c r="Q19" s="77">
        <v>0</v>
      </c>
      <c r="R19" s="77">
        <v>0</v>
      </c>
    </row>
    <row r="20" spans="1:18" ht="30" x14ac:dyDescent="0.25">
      <c r="A20" s="13">
        <v>14</v>
      </c>
      <c r="B20" s="62" t="s">
        <v>27</v>
      </c>
      <c r="C20" s="160">
        <v>10031.931</v>
      </c>
      <c r="D20" s="160">
        <v>5698.1525099999999</v>
      </c>
      <c r="E20" s="143">
        <f t="shared" si="0"/>
        <v>43.199843479784704</v>
      </c>
      <c r="F20" s="160">
        <v>2427.9466699999998</v>
      </c>
      <c r="G20" s="160">
        <v>383.48057</v>
      </c>
      <c r="H20" s="143">
        <f t="shared" si="2"/>
        <v>84.205560412906436</v>
      </c>
      <c r="I20" s="160">
        <v>104.25949</v>
      </c>
      <c r="J20" s="160">
        <v>0</v>
      </c>
      <c r="K20" s="143">
        <f t="shared" si="1"/>
        <v>100</v>
      </c>
      <c r="L20" s="160">
        <v>1092.5</v>
      </c>
      <c r="M20" s="61">
        <v>0</v>
      </c>
      <c r="N20" s="61">
        <v>0</v>
      </c>
      <c r="O20" s="77">
        <v>0</v>
      </c>
      <c r="P20" s="77">
        <v>0</v>
      </c>
      <c r="Q20" s="77">
        <v>0</v>
      </c>
      <c r="R20" s="77">
        <v>0</v>
      </c>
    </row>
    <row r="21" spans="1:18" ht="30" x14ac:dyDescent="0.25">
      <c r="A21" s="13">
        <v>15</v>
      </c>
      <c r="B21" s="71" t="s">
        <v>160</v>
      </c>
      <c r="C21" s="160">
        <v>0</v>
      </c>
      <c r="D21" s="160">
        <v>0</v>
      </c>
      <c r="E21" s="143">
        <v>0</v>
      </c>
      <c r="F21" s="160">
        <v>17.574999999999999</v>
      </c>
      <c r="G21" s="160">
        <v>0</v>
      </c>
      <c r="H21" s="143">
        <f t="shared" si="2"/>
        <v>100</v>
      </c>
      <c r="I21" s="160">
        <v>0</v>
      </c>
      <c r="J21" s="160">
        <v>0</v>
      </c>
      <c r="K21" s="143">
        <v>0</v>
      </c>
      <c r="L21" s="160">
        <v>0</v>
      </c>
      <c r="M21" s="61">
        <v>0</v>
      </c>
      <c r="N21" s="61">
        <v>0</v>
      </c>
      <c r="O21" s="77">
        <v>0</v>
      </c>
      <c r="P21" s="77">
        <v>0</v>
      </c>
      <c r="Q21" s="77">
        <v>0</v>
      </c>
      <c r="R21" s="77">
        <v>0</v>
      </c>
    </row>
    <row r="22" spans="1:18" ht="30" x14ac:dyDescent="0.25">
      <c r="A22" s="13">
        <v>16</v>
      </c>
      <c r="B22" s="71" t="s">
        <v>28</v>
      </c>
      <c r="C22" s="160">
        <v>56439.941899999998</v>
      </c>
      <c r="D22" s="160">
        <v>51831.628900000003</v>
      </c>
      <c r="E22" s="143">
        <f t="shared" si="0"/>
        <v>8.1649853718222829</v>
      </c>
      <c r="F22" s="160">
        <v>3440.4792400000001</v>
      </c>
      <c r="G22" s="160">
        <v>526.10662000000002</v>
      </c>
      <c r="H22" s="143">
        <f t="shared" si="2"/>
        <v>84.708333249527186</v>
      </c>
      <c r="I22" s="160">
        <v>43.898000000000003</v>
      </c>
      <c r="J22" s="160">
        <v>0</v>
      </c>
      <c r="K22" s="143">
        <f t="shared" si="1"/>
        <v>100</v>
      </c>
      <c r="L22" s="160">
        <v>1673.8</v>
      </c>
      <c r="M22" s="61">
        <v>0</v>
      </c>
      <c r="N22" s="61">
        <v>0</v>
      </c>
      <c r="O22" s="77">
        <v>0</v>
      </c>
      <c r="P22" s="77">
        <v>0</v>
      </c>
      <c r="Q22" s="77">
        <v>0</v>
      </c>
      <c r="R22" s="77">
        <v>0</v>
      </c>
    </row>
    <row r="23" spans="1:18" ht="30" x14ac:dyDescent="0.25">
      <c r="A23" s="13">
        <v>17</v>
      </c>
      <c r="B23" s="71" t="s">
        <v>29</v>
      </c>
      <c r="C23" s="160">
        <v>12401.146059999999</v>
      </c>
      <c r="D23" s="160">
        <v>4905.0753199999999</v>
      </c>
      <c r="E23" s="143">
        <f t="shared" si="0"/>
        <v>60.446596659147808</v>
      </c>
      <c r="F23" s="160">
        <v>1359.6246100000001</v>
      </c>
      <c r="G23" s="160">
        <v>226.56308000000001</v>
      </c>
      <c r="H23" s="143">
        <f>((F23-G23)/F23)*100</f>
        <v>83.336350465147873</v>
      </c>
      <c r="I23" s="160">
        <v>88.468999999999994</v>
      </c>
      <c r="J23" s="160">
        <v>53.69</v>
      </c>
      <c r="K23" s="143">
        <f t="shared" si="1"/>
        <v>39.312075416247502</v>
      </c>
      <c r="L23" s="160">
        <v>1044.2</v>
      </c>
      <c r="M23" s="61">
        <v>0</v>
      </c>
      <c r="N23" s="61">
        <v>0</v>
      </c>
      <c r="O23" s="77">
        <v>0</v>
      </c>
      <c r="P23" s="77">
        <v>0</v>
      </c>
      <c r="Q23" s="77">
        <v>0</v>
      </c>
      <c r="R23" s="77">
        <v>0</v>
      </c>
    </row>
    <row r="24" spans="1:18" x14ac:dyDescent="0.25">
      <c r="A24" s="13">
        <v>18</v>
      </c>
      <c r="B24" s="71" t="s">
        <v>30</v>
      </c>
      <c r="C24" s="160">
        <v>4950.9269999999997</v>
      </c>
      <c r="D24" s="160">
        <v>3961.1785599999998</v>
      </c>
      <c r="E24" s="143">
        <f>((C24-D24)/C24)*100</f>
        <v>19.991174178088265</v>
      </c>
      <c r="F24" s="160">
        <v>1579.7942</v>
      </c>
      <c r="G24" s="160">
        <v>59.132040000000003</v>
      </c>
      <c r="H24" s="143">
        <f t="shared" si="2"/>
        <v>96.256978282361089</v>
      </c>
      <c r="I24" s="160">
        <v>69.667000000000002</v>
      </c>
      <c r="J24" s="160">
        <v>0</v>
      </c>
      <c r="K24" s="143">
        <f t="shared" si="1"/>
        <v>100</v>
      </c>
      <c r="L24" s="160">
        <v>692.89</v>
      </c>
      <c r="M24" s="61">
        <v>0</v>
      </c>
      <c r="N24" s="61">
        <v>0</v>
      </c>
      <c r="O24" s="77">
        <v>0</v>
      </c>
      <c r="P24" s="77">
        <v>0</v>
      </c>
      <c r="Q24" s="77">
        <v>0</v>
      </c>
      <c r="R24" s="77">
        <v>0</v>
      </c>
    </row>
    <row r="25" spans="1:18" ht="30" x14ac:dyDescent="0.25">
      <c r="A25" s="13">
        <v>19</v>
      </c>
      <c r="B25" s="71" t="s">
        <v>31</v>
      </c>
      <c r="C25" s="160">
        <v>12320.588659999999</v>
      </c>
      <c r="D25" s="160">
        <v>2362.0023099999999</v>
      </c>
      <c r="E25" s="143">
        <f t="shared" si="0"/>
        <v>80.828819343117331</v>
      </c>
      <c r="F25" s="160">
        <v>2946.2402400000001</v>
      </c>
      <c r="G25" s="160">
        <v>505.74363</v>
      </c>
      <c r="H25" s="143">
        <f t="shared" si="2"/>
        <v>82.834270500629643</v>
      </c>
      <c r="I25" s="160">
        <v>160.30600000000001</v>
      </c>
      <c r="J25" s="160">
        <v>12.968999999999999</v>
      </c>
      <c r="K25" s="143">
        <f t="shared" si="1"/>
        <v>91.909847416815353</v>
      </c>
      <c r="L25" s="160">
        <v>1070</v>
      </c>
      <c r="M25" s="61">
        <v>219.9</v>
      </c>
      <c r="N25" s="61"/>
      <c r="O25" s="77">
        <v>0</v>
      </c>
      <c r="P25" s="77">
        <v>0</v>
      </c>
      <c r="Q25" s="77">
        <v>0</v>
      </c>
      <c r="R25" s="77">
        <v>0</v>
      </c>
    </row>
    <row r="26" spans="1:18" ht="30" x14ac:dyDescent="0.25">
      <c r="A26" s="13">
        <v>20</v>
      </c>
      <c r="B26" s="71" t="s">
        <v>32</v>
      </c>
      <c r="C26" s="160">
        <v>9359.5428900000006</v>
      </c>
      <c r="D26" s="160">
        <v>0</v>
      </c>
      <c r="E26" s="143">
        <f t="shared" si="0"/>
        <v>100</v>
      </c>
      <c r="F26" s="160">
        <v>2242.54729</v>
      </c>
      <c r="G26" s="160">
        <v>254.04426000000001</v>
      </c>
      <c r="H26" s="143">
        <f t="shared" si="2"/>
        <v>88.671620833467458</v>
      </c>
      <c r="I26" s="160">
        <v>207.40870000000001</v>
      </c>
      <c r="J26" s="160">
        <v>0</v>
      </c>
      <c r="K26" s="143">
        <f t="shared" si="1"/>
        <v>100</v>
      </c>
      <c r="L26" s="160">
        <v>975.86</v>
      </c>
      <c r="M26" s="61">
        <v>0</v>
      </c>
      <c r="N26" s="61">
        <v>0</v>
      </c>
      <c r="O26" s="77">
        <v>0</v>
      </c>
      <c r="P26" s="77">
        <v>0</v>
      </c>
      <c r="Q26" s="77">
        <v>0</v>
      </c>
      <c r="R26" s="77">
        <v>0</v>
      </c>
    </row>
    <row r="27" spans="1:18" ht="30" x14ac:dyDescent="0.25">
      <c r="A27" s="13">
        <v>21</v>
      </c>
      <c r="B27" s="71" t="s">
        <v>33</v>
      </c>
      <c r="C27" s="160">
        <v>90.426000000000002</v>
      </c>
      <c r="D27" s="160">
        <v>0</v>
      </c>
      <c r="E27" s="143">
        <f t="shared" si="0"/>
        <v>100</v>
      </c>
      <c r="F27" s="160">
        <v>814.43854999999996</v>
      </c>
      <c r="G27" s="160">
        <v>134.27742000000001</v>
      </c>
      <c r="H27" s="143">
        <f t="shared" si="2"/>
        <v>83.512885042094325</v>
      </c>
      <c r="I27" s="160">
        <v>20.168099999999999</v>
      </c>
      <c r="J27" s="160">
        <v>0</v>
      </c>
      <c r="K27" s="143">
        <f t="shared" si="1"/>
        <v>100</v>
      </c>
      <c r="L27" s="160">
        <v>355.7</v>
      </c>
      <c r="M27" s="61">
        <v>0</v>
      </c>
      <c r="N27" s="61">
        <v>0</v>
      </c>
      <c r="O27" s="77">
        <v>0</v>
      </c>
      <c r="P27" s="77">
        <v>0</v>
      </c>
      <c r="Q27" s="77">
        <v>0</v>
      </c>
      <c r="R27" s="77">
        <v>0</v>
      </c>
    </row>
    <row r="28" spans="1:18" ht="30" x14ac:dyDescent="0.25">
      <c r="A28" s="13">
        <v>22</v>
      </c>
      <c r="B28" s="71" t="s">
        <v>34</v>
      </c>
      <c r="C28" s="160">
        <v>2891.2350700000002</v>
      </c>
      <c r="D28" s="160">
        <v>501.92574000000002</v>
      </c>
      <c r="E28" s="143">
        <f t="shared" si="0"/>
        <v>82.639746411211036</v>
      </c>
      <c r="F28" s="160">
        <v>1823.0503200000001</v>
      </c>
      <c r="G28" s="160">
        <v>324.37385999999998</v>
      </c>
      <c r="H28" s="143">
        <f t="shared" si="2"/>
        <v>82.20708137118234</v>
      </c>
      <c r="I28" s="160">
        <v>63.211500000000001</v>
      </c>
      <c r="J28" s="160">
        <v>0</v>
      </c>
      <c r="K28" s="143">
        <f t="shared" si="1"/>
        <v>100</v>
      </c>
      <c r="L28" s="160">
        <v>753.82</v>
      </c>
      <c r="M28" s="61">
        <v>0</v>
      </c>
      <c r="N28" s="61">
        <v>0</v>
      </c>
      <c r="O28" s="77">
        <v>0</v>
      </c>
      <c r="P28" s="77">
        <v>0</v>
      </c>
      <c r="Q28" s="77">
        <v>0</v>
      </c>
      <c r="R28" s="77">
        <v>0</v>
      </c>
    </row>
    <row r="29" spans="1:18" x14ac:dyDescent="0.25">
      <c r="A29" s="13">
        <v>23</v>
      </c>
      <c r="B29" s="71" t="s">
        <v>35</v>
      </c>
      <c r="C29" s="160">
        <v>491.14463999999998</v>
      </c>
      <c r="D29" s="160">
        <v>314.33301999999998</v>
      </c>
      <c r="E29" s="143">
        <f t="shared" si="0"/>
        <v>35.999908295853537</v>
      </c>
      <c r="F29" s="160">
        <v>1063.46694</v>
      </c>
      <c r="G29" s="160">
        <v>132.51818</v>
      </c>
      <c r="H29" s="143">
        <f t="shared" si="2"/>
        <v>87.539040940943593</v>
      </c>
      <c r="I29" s="160">
        <v>194.24100000000001</v>
      </c>
      <c r="J29" s="160">
        <v>0</v>
      </c>
      <c r="K29" s="143">
        <f t="shared" si="1"/>
        <v>100</v>
      </c>
      <c r="L29" s="160">
        <v>729</v>
      </c>
      <c r="M29" s="61">
        <v>0</v>
      </c>
      <c r="N29" s="61">
        <v>0</v>
      </c>
      <c r="O29" s="77">
        <v>0</v>
      </c>
      <c r="P29" s="77">
        <v>0</v>
      </c>
      <c r="Q29" s="77">
        <v>0</v>
      </c>
      <c r="R29" s="77">
        <v>0</v>
      </c>
    </row>
    <row r="30" spans="1:18" x14ac:dyDescent="0.25">
      <c r="A30" s="13">
        <v>24</v>
      </c>
      <c r="B30" s="71" t="s">
        <v>36</v>
      </c>
      <c r="C30" s="160">
        <v>176.53523000000001</v>
      </c>
      <c r="D30" s="160">
        <v>100.3079</v>
      </c>
      <c r="E30" s="143">
        <f t="shared" si="0"/>
        <v>43.17967014289443</v>
      </c>
      <c r="F30" s="160">
        <v>4703.9987700000001</v>
      </c>
      <c r="G30" s="160">
        <v>1580.94002</v>
      </c>
      <c r="H30" s="143">
        <f t="shared" si="2"/>
        <v>66.391572419565065</v>
      </c>
      <c r="I30" s="160">
        <v>495.19718999999998</v>
      </c>
      <c r="J30" s="160">
        <v>40.48218</v>
      </c>
      <c r="K30" s="143">
        <f t="shared" si="1"/>
        <v>91.825038425601733</v>
      </c>
      <c r="L30" s="160">
        <v>3079.3</v>
      </c>
      <c r="M30" s="61">
        <v>0</v>
      </c>
      <c r="N30" s="61">
        <v>0</v>
      </c>
      <c r="O30" s="77">
        <v>0</v>
      </c>
      <c r="P30" s="77">
        <v>0</v>
      </c>
      <c r="Q30" s="77">
        <v>0</v>
      </c>
      <c r="R30" s="77">
        <v>0</v>
      </c>
    </row>
    <row r="31" spans="1:18" ht="30" x14ac:dyDescent="0.25">
      <c r="A31" s="13">
        <v>25</v>
      </c>
      <c r="B31" s="71" t="s">
        <v>37</v>
      </c>
      <c r="C31" s="160">
        <v>500.91386999999997</v>
      </c>
      <c r="D31" s="160">
        <v>314.57789000000002</v>
      </c>
      <c r="E31" s="143">
        <f t="shared" si="0"/>
        <v>37.199205524095383</v>
      </c>
      <c r="F31" s="160">
        <v>1615.01134</v>
      </c>
      <c r="G31" s="160">
        <v>377.28937000000002</v>
      </c>
      <c r="H31" s="143">
        <f t="shared" si="2"/>
        <v>76.638593138299569</v>
      </c>
      <c r="I31" s="160">
        <v>20.43</v>
      </c>
      <c r="J31" s="160">
        <v>0</v>
      </c>
      <c r="K31" s="143">
        <f t="shared" si="1"/>
        <v>100</v>
      </c>
      <c r="L31" s="160">
        <v>709</v>
      </c>
      <c r="M31" s="61">
        <v>125</v>
      </c>
      <c r="N31" s="61">
        <v>0</v>
      </c>
      <c r="O31" s="77">
        <v>0</v>
      </c>
      <c r="P31" s="77">
        <v>0</v>
      </c>
      <c r="Q31" s="77">
        <v>0</v>
      </c>
      <c r="R31" s="77">
        <v>0</v>
      </c>
    </row>
    <row r="32" spans="1:18" ht="30" x14ac:dyDescent="0.25">
      <c r="A32" s="13">
        <v>26</v>
      </c>
      <c r="B32" s="71" t="s">
        <v>38</v>
      </c>
      <c r="C32" s="160">
        <v>8316.18</v>
      </c>
      <c r="D32" s="160">
        <v>0</v>
      </c>
      <c r="E32" s="143">
        <f t="shared" si="0"/>
        <v>100</v>
      </c>
      <c r="F32" s="160">
        <v>2748.39309</v>
      </c>
      <c r="G32" s="160">
        <v>394.27140000000003</v>
      </c>
      <c r="H32" s="143">
        <f t="shared" si="2"/>
        <v>85.654475648532497</v>
      </c>
      <c r="I32" s="160">
        <v>31.913</v>
      </c>
      <c r="J32" s="160">
        <v>0</v>
      </c>
      <c r="K32" s="143">
        <f t="shared" si="1"/>
        <v>100</v>
      </c>
      <c r="L32" s="160">
        <v>1068.9000000000001</v>
      </c>
      <c r="M32" s="61">
        <v>177.75</v>
      </c>
      <c r="N32" s="61">
        <v>0</v>
      </c>
      <c r="O32" s="77">
        <v>0</v>
      </c>
      <c r="P32" s="77">
        <v>0</v>
      </c>
      <c r="Q32" s="77">
        <v>0</v>
      </c>
      <c r="R32" s="77">
        <v>0</v>
      </c>
    </row>
    <row r="33" spans="1:18" ht="30" x14ac:dyDescent="0.25">
      <c r="A33" s="13">
        <v>27</v>
      </c>
      <c r="B33" s="71" t="s">
        <v>39</v>
      </c>
      <c r="C33" s="160">
        <v>16504.2857</v>
      </c>
      <c r="D33" s="160">
        <v>6432.2148699999998</v>
      </c>
      <c r="E33" s="143">
        <f t="shared" si="0"/>
        <v>61.027002398534577</v>
      </c>
      <c r="F33" s="160">
        <v>1101.43434</v>
      </c>
      <c r="G33" s="160">
        <v>151.82616999999999</v>
      </c>
      <c r="H33" s="143">
        <f>((F33-G33)/F33)*100</f>
        <v>86.215595021306484</v>
      </c>
      <c r="I33" s="160">
        <v>70.209999999999994</v>
      </c>
      <c r="J33" s="160">
        <v>0</v>
      </c>
      <c r="K33" s="143">
        <f t="shared" si="1"/>
        <v>100</v>
      </c>
      <c r="L33" s="160">
        <v>1438.7</v>
      </c>
      <c r="M33" s="61">
        <v>0</v>
      </c>
      <c r="N33" s="61">
        <v>0</v>
      </c>
      <c r="O33" s="77">
        <v>0</v>
      </c>
      <c r="P33" s="77">
        <v>0</v>
      </c>
      <c r="Q33" s="77">
        <v>0</v>
      </c>
      <c r="R33" s="77">
        <v>0</v>
      </c>
    </row>
    <row r="34" spans="1:18" x14ac:dyDescent="0.25">
      <c r="A34" s="13">
        <v>28</v>
      </c>
      <c r="B34" s="71" t="s">
        <v>40</v>
      </c>
      <c r="C34" s="160">
        <v>4231.6013700000003</v>
      </c>
      <c r="D34" s="160">
        <v>852.49339999999995</v>
      </c>
      <c r="E34" s="143">
        <f>((C34-D34)/C34)*100</f>
        <v>79.854118442163184</v>
      </c>
      <c r="F34" s="160">
        <v>2490.5398399999999</v>
      </c>
      <c r="G34" s="160">
        <v>1092.0011999999999</v>
      </c>
      <c r="H34" s="143">
        <f>((F34-G34)/F34)*100</f>
        <v>56.154036066333312</v>
      </c>
      <c r="I34" s="160">
        <v>46.015000000000001</v>
      </c>
      <c r="J34" s="160">
        <v>0</v>
      </c>
      <c r="K34" s="143">
        <f t="shared" si="1"/>
        <v>100</v>
      </c>
      <c r="L34" s="160">
        <v>1273.0999999999999</v>
      </c>
      <c r="M34" s="61">
        <v>0</v>
      </c>
      <c r="N34" s="61">
        <v>0</v>
      </c>
      <c r="O34" s="77">
        <v>0</v>
      </c>
      <c r="P34" s="77">
        <v>0</v>
      </c>
      <c r="Q34" s="77">
        <v>0</v>
      </c>
      <c r="R34" s="77">
        <v>0</v>
      </c>
    </row>
    <row r="35" spans="1:18" ht="30" x14ac:dyDescent="0.25">
      <c r="A35" s="13">
        <v>29</v>
      </c>
      <c r="B35" s="71" t="s">
        <v>41</v>
      </c>
      <c r="C35" s="160">
        <v>7158.2845900000002</v>
      </c>
      <c r="D35" s="160">
        <v>0</v>
      </c>
      <c r="E35" s="143">
        <f t="shared" si="0"/>
        <v>100</v>
      </c>
      <c r="F35" s="160">
        <v>1647.6236699999999</v>
      </c>
      <c r="G35" s="160">
        <v>194.50149999999999</v>
      </c>
      <c r="H35" s="143">
        <f t="shared" ref="H35:H44" si="3">((F35-G35)/F35)*100</f>
        <v>88.195028783484275</v>
      </c>
      <c r="I35" s="160">
        <v>114.45399999999999</v>
      </c>
      <c r="J35" s="160">
        <v>0</v>
      </c>
      <c r="K35" s="143">
        <f t="shared" si="1"/>
        <v>100</v>
      </c>
      <c r="L35" s="160">
        <v>1020.8</v>
      </c>
      <c r="M35" s="61">
        <v>0</v>
      </c>
      <c r="N35" s="61">
        <v>0</v>
      </c>
      <c r="O35" s="77">
        <v>0</v>
      </c>
      <c r="P35" s="77">
        <v>0</v>
      </c>
      <c r="Q35" s="77">
        <v>0</v>
      </c>
      <c r="R35" s="77">
        <v>0</v>
      </c>
    </row>
    <row r="36" spans="1:18" ht="30" x14ac:dyDescent="0.25">
      <c r="A36" s="13">
        <v>30</v>
      </c>
      <c r="B36" s="71" t="s">
        <v>42</v>
      </c>
      <c r="C36" s="160">
        <v>4392.6114399999997</v>
      </c>
      <c r="D36" s="160">
        <v>1147.7140899999999</v>
      </c>
      <c r="E36" s="143">
        <f t="shared" si="0"/>
        <v>73.871713770339767</v>
      </c>
      <c r="F36" s="160">
        <v>2192.4953300000002</v>
      </c>
      <c r="G36" s="160">
        <v>964.19507999999996</v>
      </c>
      <c r="H36" s="143">
        <f t="shared" si="3"/>
        <v>56.022935747826665</v>
      </c>
      <c r="I36" s="160">
        <v>109.09</v>
      </c>
      <c r="J36" s="160">
        <v>0</v>
      </c>
      <c r="K36" s="143">
        <f t="shared" si="1"/>
        <v>100</v>
      </c>
      <c r="L36" s="160">
        <v>987</v>
      </c>
      <c r="M36" s="61">
        <v>0</v>
      </c>
      <c r="N36" s="61">
        <v>0</v>
      </c>
      <c r="O36" s="77">
        <v>0</v>
      </c>
      <c r="P36" s="77">
        <v>0</v>
      </c>
      <c r="Q36" s="77">
        <v>0</v>
      </c>
      <c r="R36" s="77">
        <v>0</v>
      </c>
    </row>
    <row r="37" spans="1:18" ht="30" x14ac:dyDescent="0.25">
      <c r="A37" s="13">
        <v>31</v>
      </c>
      <c r="B37" s="71" t="s">
        <v>43</v>
      </c>
      <c r="C37" s="160">
        <v>11661.90553</v>
      </c>
      <c r="D37" s="160">
        <v>7816.3259900000003</v>
      </c>
      <c r="E37" s="143">
        <f t="shared" si="0"/>
        <v>32.975567587195158</v>
      </c>
      <c r="F37" s="160">
        <v>2678.2492999999999</v>
      </c>
      <c r="G37" s="160">
        <v>241.01444000000001</v>
      </c>
      <c r="H37" s="143">
        <f t="shared" si="3"/>
        <v>91.001045347048176</v>
      </c>
      <c r="I37" s="160">
        <v>17.998999999999999</v>
      </c>
      <c r="J37" s="160">
        <v>0</v>
      </c>
      <c r="K37" s="143">
        <f t="shared" si="1"/>
        <v>100</v>
      </c>
      <c r="L37" s="160">
        <v>1896.08</v>
      </c>
      <c r="M37" s="61">
        <v>54.19</v>
      </c>
      <c r="N37" s="61">
        <v>0</v>
      </c>
      <c r="O37" s="77">
        <v>0</v>
      </c>
      <c r="P37" s="77">
        <v>0</v>
      </c>
      <c r="Q37" s="77">
        <v>0</v>
      </c>
      <c r="R37" s="77">
        <v>0</v>
      </c>
    </row>
    <row r="38" spans="1:18" ht="30" x14ac:dyDescent="0.25">
      <c r="A38" s="13">
        <v>32</v>
      </c>
      <c r="B38" s="71" t="s">
        <v>44</v>
      </c>
      <c r="C38" s="160">
        <v>46855.911</v>
      </c>
      <c r="D38" s="160">
        <v>26418.607550000001</v>
      </c>
      <c r="E38" s="143">
        <f t="shared" si="0"/>
        <v>43.617343071186895</v>
      </c>
      <c r="F38" s="160">
        <v>12124.312250000001</v>
      </c>
      <c r="G38" s="160">
        <v>2502.8397500000001</v>
      </c>
      <c r="H38" s="143">
        <f t="shared" si="3"/>
        <v>79.356851766994026</v>
      </c>
      <c r="I38" s="160">
        <v>154.52000000000001</v>
      </c>
      <c r="J38" s="160">
        <v>0</v>
      </c>
      <c r="K38" s="143">
        <f t="shared" si="1"/>
        <v>100</v>
      </c>
      <c r="L38" s="160">
        <v>3098.99</v>
      </c>
      <c r="M38" s="61">
        <v>0</v>
      </c>
      <c r="N38" s="61">
        <v>0</v>
      </c>
      <c r="O38" s="77">
        <v>0</v>
      </c>
      <c r="P38" s="77">
        <v>0</v>
      </c>
      <c r="Q38" s="77">
        <v>0</v>
      </c>
      <c r="R38" s="77">
        <v>0</v>
      </c>
    </row>
    <row r="39" spans="1:18" ht="30" x14ac:dyDescent="0.25">
      <c r="A39" s="13">
        <v>33</v>
      </c>
      <c r="B39" s="71" t="s">
        <v>45</v>
      </c>
      <c r="C39" s="160">
        <v>6873.8728600000004</v>
      </c>
      <c r="D39" s="160">
        <v>35.922440000000002</v>
      </c>
      <c r="E39" s="143">
        <f t="shared" si="0"/>
        <v>99.477406103784119</v>
      </c>
      <c r="F39" s="160">
        <v>4322.5823899999996</v>
      </c>
      <c r="G39" s="160">
        <v>665.42179999999996</v>
      </c>
      <c r="H39" s="143">
        <f t="shared" si="3"/>
        <v>84.605919796013424</v>
      </c>
      <c r="I39" s="160">
        <v>122.16972</v>
      </c>
      <c r="J39" s="160">
        <v>0</v>
      </c>
      <c r="K39" s="143">
        <f t="shared" si="1"/>
        <v>100</v>
      </c>
      <c r="L39" s="160">
        <v>1409.8</v>
      </c>
      <c r="M39" s="61">
        <v>0</v>
      </c>
      <c r="N39" s="61">
        <v>0</v>
      </c>
      <c r="O39" s="77">
        <v>0</v>
      </c>
      <c r="P39" s="77">
        <v>0</v>
      </c>
      <c r="Q39" s="77">
        <v>0</v>
      </c>
      <c r="R39" s="77">
        <v>0</v>
      </c>
    </row>
    <row r="40" spans="1:18" ht="30" x14ac:dyDescent="0.25">
      <c r="A40" s="13">
        <v>34</v>
      </c>
      <c r="B40" s="71" t="s">
        <v>46</v>
      </c>
      <c r="C40" s="160">
        <v>57368.499969999997</v>
      </c>
      <c r="D40" s="160">
        <v>52497.3272</v>
      </c>
      <c r="E40" s="143">
        <v>0</v>
      </c>
      <c r="F40" s="160">
        <v>4443.9507599999997</v>
      </c>
      <c r="G40" s="160">
        <v>1101.2341100000001</v>
      </c>
      <c r="H40" s="143">
        <f t="shared" si="3"/>
        <v>75.219479929611083</v>
      </c>
      <c r="I40" s="160">
        <v>21.060199999999998</v>
      </c>
      <c r="J40" s="160">
        <v>0</v>
      </c>
      <c r="K40" s="143">
        <f t="shared" si="1"/>
        <v>100</v>
      </c>
      <c r="L40" s="160">
        <v>1453.8</v>
      </c>
      <c r="M40" s="61">
        <v>0</v>
      </c>
      <c r="N40" s="61">
        <v>0</v>
      </c>
      <c r="O40" s="77">
        <v>0</v>
      </c>
      <c r="P40" s="77">
        <v>0</v>
      </c>
      <c r="Q40" s="77">
        <v>0</v>
      </c>
      <c r="R40" s="77">
        <v>0</v>
      </c>
    </row>
    <row r="41" spans="1:18" ht="30" x14ac:dyDescent="0.25">
      <c r="A41" s="13">
        <v>35</v>
      </c>
      <c r="B41" s="62" t="s">
        <v>47</v>
      </c>
      <c r="C41" s="160">
        <v>21849.634450000001</v>
      </c>
      <c r="D41" s="160">
        <v>1355.0976499999999</v>
      </c>
      <c r="E41" s="143">
        <f t="shared" si="0"/>
        <v>93.798076333492162</v>
      </c>
      <c r="F41" s="160">
        <v>14555.790950000001</v>
      </c>
      <c r="G41" s="160">
        <v>2328.4874799999998</v>
      </c>
      <c r="H41" s="143">
        <f t="shared" si="3"/>
        <v>84.003016476407964</v>
      </c>
      <c r="I41" s="160">
        <v>344.69619999999998</v>
      </c>
      <c r="J41" s="160">
        <v>0</v>
      </c>
      <c r="K41" s="143">
        <f t="shared" si="1"/>
        <v>100</v>
      </c>
      <c r="L41" s="160">
        <v>5067.04</v>
      </c>
      <c r="M41" s="61">
        <v>0</v>
      </c>
      <c r="N41" s="61">
        <v>0</v>
      </c>
      <c r="O41" s="77">
        <v>0</v>
      </c>
      <c r="P41" s="77">
        <v>0</v>
      </c>
      <c r="Q41" s="77">
        <v>0</v>
      </c>
      <c r="R41" s="77">
        <v>0</v>
      </c>
    </row>
    <row r="42" spans="1:18" ht="30" x14ac:dyDescent="0.25">
      <c r="A42" s="13">
        <v>36</v>
      </c>
      <c r="B42" s="62" t="s">
        <v>48</v>
      </c>
      <c r="C42" s="160">
        <v>20049.020960000002</v>
      </c>
      <c r="D42" s="160">
        <v>13067.01151</v>
      </c>
      <c r="E42" s="143">
        <f t="shared" si="0"/>
        <v>34.824690262581285</v>
      </c>
      <c r="F42" s="160">
        <v>6760.9459999999999</v>
      </c>
      <c r="G42" s="160">
        <v>994.96735999999999</v>
      </c>
      <c r="H42" s="143">
        <f t="shared" si="3"/>
        <v>85.283607353172172</v>
      </c>
      <c r="I42" s="160">
        <v>9</v>
      </c>
      <c r="J42" s="160">
        <v>0</v>
      </c>
      <c r="K42" s="143">
        <f t="shared" si="1"/>
        <v>100</v>
      </c>
      <c r="L42" s="160">
        <v>1203.25</v>
      </c>
      <c r="M42" s="61">
        <v>0</v>
      </c>
      <c r="N42" s="61">
        <v>0</v>
      </c>
      <c r="O42" s="77">
        <v>0</v>
      </c>
      <c r="P42" s="77">
        <v>0</v>
      </c>
      <c r="Q42" s="77">
        <v>0</v>
      </c>
      <c r="R42" s="77">
        <v>0</v>
      </c>
    </row>
    <row r="43" spans="1:18" ht="30" x14ac:dyDescent="0.25">
      <c r="A43" s="13">
        <v>37</v>
      </c>
      <c r="B43" s="62" t="s">
        <v>49</v>
      </c>
      <c r="C43" s="160">
        <v>114245.09699999999</v>
      </c>
      <c r="D43" s="160">
        <v>89734.523979999998</v>
      </c>
      <c r="E43" s="143">
        <f t="shared" si="0"/>
        <v>21.454376304656645</v>
      </c>
      <c r="F43" s="160">
        <v>16566.938249999999</v>
      </c>
      <c r="G43" s="160">
        <v>2371.1801799999998</v>
      </c>
      <c r="H43" s="143">
        <f t="shared" si="3"/>
        <v>85.687275800644699</v>
      </c>
      <c r="I43" s="160">
        <v>432.41660000000002</v>
      </c>
      <c r="J43" s="160">
        <v>405.09575000000001</v>
      </c>
      <c r="K43" s="143">
        <f t="shared" si="1"/>
        <v>6.3181778867878817</v>
      </c>
      <c r="L43" s="160">
        <v>6621.94</v>
      </c>
      <c r="M43" s="61">
        <v>0</v>
      </c>
      <c r="N43" s="61">
        <v>0</v>
      </c>
      <c r="O43" s="77">
        <v>0</v>
      </c>
      <c r="P43" s="77">
        <v>0</v>
      </c>
      <c r="Q43" s="77">
        <v>0</v>
      </c>
      <c r="R43" s="77">
        <v>0</v>
      </c>
    </row>
    <row r="44" spans="1:18" ht="30" x14ac:dyDescent="0.25">
      <c r="A44" s="13">
        <v>38</v>
      </c>
      <c r="B44" s="62" t="s">
        <v>50</v>
      </c>
      <c r="C44" s="160">
        <v>60083.637000000002</v>
      </c>
      <c r="D44" s="160">
        <v>40671.232190000002</v>
      </c>
      <c r="E44" s="143">
        <f t="shared" si="0"/>
        <v>32.308970926643468</v>
      </c>
      <c r="F44" s="160">
        <v>13210.469450000001</v>
      </c>
      <c r="G44" s="160">
        <v>3145.71884</v>
      </c>
      <c r="H44" s="143">
        <f t="shared" si="3"/>
        <v>76.18768317124416</v>
      </c>
      <c r="I44" s="160">
        <v>5.8445299999999998</v>
      </c>
      <c r="J44" s="160">
        <v>0</v>
      </c>
      <c r="K44" s="143">
        <f t="shared" si="1"/>
        <v>100</v>
      </c>
      <c r="L44" s="160">
        <v>6408.6</v>
      </c>
      <c r="M44" s="61">
        <v>582</v>
      </c>
      <c r="N44" s="61">
        <v>0</v>
      </c>
      <c r="O44" s="77">
        <v>0</v>
      </c>
      <c r="P44" s="77">
        <v>0</v>
      </c>
      <c r="Q44" s="77">
        <v>0</v>
      </c>
      <c r="R44" s="77">
        <v>0</v>
      </c>
    </row>
    <row r="45" spans="1:18" ht="30" x14ac:dyDescent="0.25">
      <c r="A45" s="13">
        <v>39</v>
      </c>
      <c r="B45" s="62" t="s">
        <v>51</v>
      </c>
      <c r="C45" s="160">
        <v>9397.7648300000001</v>
      </c>
      <c r="D45" s="160">
        <v>0</v>
      </c>
      <c r="E45" s="143">
        <f>((C45-D45)/C45)*100</f>
        <v>100</v>
      </c>
      <c r="F45" s="160">
        <v>12497.59569</v>
      </c>
      <c r="G45" s="160">
        <v>3463.1122300000002</v>
      </c>
      <c r="H45" s="143">
        <f>((F45-G45)/F45)*100</f>
        <v>72.289772241783893</v>
      </c>
      <c r="I45" s="160">
        <v>66.396749999999997</v>
      </c>
      <c r="J45" s="160">
        <v>0</v>
      </c>
      <c r="K45" s="143">
        <f t="shared" si="1"/>
        <v>100</v>
      </c>
      <c r="L45" s="160">
        <v>3181</v>
      </c>
      <c r="M45" s="61">
        <v>0</v>
      </c>
      <c r="N45" s="61">
        <v>0</v>
      </c>
      <c r="O45" s="77">
        <v>0</v>
      </c>
      <c r="P45" s="77">
        <v>0</v>
      </c>
      <c r="Q45" s="77">
        <v>0</v>
      </c>
      <c r="R45" s="77">
        <v>0</v>
      </c>
    </row>
    <row r="46" spans="1:18" ht="30" x14ac:dyDescent="0.25">
      <c r="A46" s="13">
        <v>40</v>
      </c>
      <c r="B46" s="62" t="s">
        <v>52</v>
      </c>
      <c r="C46" s="160">
        <v>28582.984130000001</v>
      </c>
      <c r="D46" s="160">
        <v>19500.94483</v>
      </c>
      <c r="E46" s="143">
        <f t="shared" si="0"/>
        <v>31.774286612949254</v>
      </c>
      <c r="F46" s="160">
        <v>16012.49259</v>
      </c>
      <c r="G46" s="160">
        <v>8536.33943</v>
      </c>
      <c r="H46" s="143">
        <f>((F46-G46)/F46)*100</f>
        <v>46.689502699092273</v>
      </c>
      <c r="I46" s="160">
        <v>13.739750000000001</v>
      </c>
      <c r="J46" s="160">
        <v>0</v>
      </c>
      <c r="K46" s="143">
        <f t="shared" si="1"/>
        <v>100</v>
      </c>
      <c r="L46" s="160">
        <v>1852</v>
      </c>
      <c r="M46" s="61">
        <v>0</v>
      </c>
      <c r="N46" s="61">
        <v>0</v>
      </c>
      <c r="O46" s="77">
        <v>0</v>
      </c>
      <c r="P46" s="77">
        <v>0</v>
      </c>
      <c r="Q46" s="77">
        <v>0</v>
      </c>
      <c r="R46" s="77">
        <v>0</v>
      </c>
    </row>
    <row r="47" spans="1:18" ht="30" x14ac:dyDescent="0.25">
      <c r="A47" s="13">
        <v>41</v>
      </c>
      <c r="B47" s="62" t="s">
        <v>53</v>
      </c>
      <c r="C47" s="160">
        <v>77929.827040000004</v>
      </c>
      <c r="D47" s="160">
        <v>69531.807379999998</v>
      </c>
      <c r="E47" s="143">
        <f t="shared" si="0"/>
        <v>10.776386884176517</v>
      </c>
      <c r="F47" s="160">
        <v>5867.7902599999998</v>
      </c>
      <c r="G47" s="160">
        <v>645.39185999999995</v>
      </c>
      <c r="H47" s="143">
        <f t="shared" ref="H47:H56" si="4">((F47-G47)/F47)*100</f>
        <v>89.001108911483158</v>
      </c>
      <c r="I47" s="160">
        <v>10.99</v>
      </c>
      <c r="J47" s="160">
        <v>0</v>
      </c>
      <c r="K47" s="143">
        <f t="shared" si="1"/>
        <v>100</v>
      </c>
      <c r="L47" s="160">
        <v>3823.5</v>
      </c>
      <c r="M47" s="61">
        <v>0</v>
      </c>
      <c r="N47" s="61">
        <v>0</v>
      </c>
      <c r="O47" s="77">
        <v>0</v>
      </c>
      <c r="P47" s="77">
        <v>0</v>
      </c>
      <c r="Q47" s="77">
        <v>0</v>
      </c>
      <c r="R47" s="77">
        <v>0</v>
      </c>
    </row>
    <row r="48" spans="1:18" ht="30" x14ac:dyDescent="0.25">
      <c r="A48" s="13">
        <v>42</v>
      </c>
      <c r="B48" s="62" t="s">
        <v>54</v>
      </c>
      <c r="C48" s="160">
        <v>14488.12566</v>
      </c>
      <c r="D48" s="160">
        <v>8502.2163600000003</v>
      </c>
      <c r="E48" s="143">
        <f t="shared" si="0"/>
        <v>41.315967575615296</v>
      </c>
      <c r="F48" s="160">
        <v>6601.5912799999996</v>
      </c>
      <c r="G48" s="160">
        <v>936.10544000000004</v>
      </c>
      <c r="H48" s="143">
        <f t="shared" si="4"/>
        <v>85.8200030826507</v>
      </c>
      <c r="I48" s="160">
        <v>191.37493000000001</v>
      </c>
      <c r="J48" s="160">
        <v>0</v>
      </c>
      <c r="K48" s="143">
        <f t="shared" si="1"/>
        <v>100</v>
      </c>
      <c r="L48" s="160">
        <v>2601.6999999999998</v>
      </c>
      <c r="M48" s="61">
        <v>0</v>
      </c>
      <c r="N48" s="61">
        <v>0</v>
      </c>
      <c r="O48" s="77">
        <v>0</v>
      </c>
      <c r="P48" s="77">
        <v>0</v>
      </c>
      <c r="Q48" s="77">
        <v>0</v>
      </c>
      <c r="R48" s="77">
        <v>0</v>
      </c>
    </row>
    <row r="49" spans="1:18" ht="30" x14ac:dyDescent="0.25">
      <c r="A49" s="13">
        <v>43</v>
      </c>
      <c r="B49" s="62" t="s">
        <v>55</v>
      </c>
      <c r="C49" s="160">
        <v>1338.0535500000001</v>
      </c>
      <c r="D49" s="160">
        <v>543.56470999999999</v>
      </c>
      <c r="E49" s="143">
        <f t="shared" si="0"/>
        <v>59.376460680516118</v>
      </c>
      <c r="F49" s="160">
        <v>4726.43851</v>
      </c>
      <c r="G49" s="160">
        <v>453.37200999999999</v>
      </c>
      <c r="H49" s="143">
        <f t="shared" si="4"/>
        <v>90.407745514074193</v>
      </c>
      <c r="I49" s="160">
        <v>11.408379999999999</v>
      </c>
      <c r="J49" s="160">
        <v>0</v>
      </c>
      <c r="K49" s="143">
        <f t="shared" si="1"/>
        <v>100</v>
      </c>
      <c r="L49" s="160">
        <v>2084.1</v>
      </c>
      <c r="M49" s="61">
        <v>0</v>
      </c>
      <c r="N49" s="61">
        <v>0</v>
      </c>
      <c r="O49" s="77">
        <v>0</v>
      </c>
      <c r="P49" s="77">
        <v>0</v>
      </c>
      <c r="Q49" s="77">
        <v>0</v>
      </c>
      <c r="R49" s="77">
        <v>0</v>
      </c>
    </row>
    <row r="50" spans="1:18" ht="30" x14ac:dyDescent="0.25">
      <c r="A50" s="13">
        <v>44</v>
      </c>
      <c r="B50" s="62" t="s">
        <v>56</v>
      </c>
      <c r="C50" s="160">
        <v>47556.944179999999</v>
      </c>
      <c r="D50" s="160">
        <v>25366.294300000001</v>
      </c>
      <c r="E50" s="143">
        <f t="shared" si="0"/>
        <v>46.661219013588855</v>
      </c>
      <c r="F50" s="160">
        <v>5569.4948599999998</v>
      </c>
      <c r="G50" s="160">
        <v>1337.65093</v>
      </c>
      <c r="H50" s="143">
        <f t="shared" si="4"/>
        <v>75.982544851473293</v>
      </c>
      <c r="I50" s="160">
        <v>0</v>
      </c>
      <c r="J50" s="160">
        <v>0</v>
      </c>
      <c r="K50" s="143">
        <v>0</v>
      </c>
      <c r="L50" s="160">
        <v>2957.8</v>
      </c>
      <c r="M50" s="61">
        <v>0</v>
      </c>
      <c r="N50" s="61">
        <v>0</v>
      </c>
      <c r="O50" s="77">
        <v>0</v>
      </c>
      <c r="P50" s="77">
        <v>0</v>
      </c>
      <c r="Q50" s="77">
        <v>0</v>
      </c>
      <c r="R50" s="77">
        <v>0</v>
      </c>
    </row>
    <row r="51" spans="1:18" ht="30" x14ac:dyDescent="0.25">
      <c r="A51" s="13">
        <v>45</v>
      </c>
      <c r="B51" s="62" t="s">
        <v>57</v>
      </c>
      <c r="C51" s="160">
        <v>37699.180800000002</v>
      </c>
      <c r="D51" s="160">
        <v>7295.1986200000001</v>
      </c>
      <c r="E51" s="143">
        <f t="shared" si="0"/>
        <v>80.648920042315623</v>
      </c>
      <c r="F51" s="160">
        <v>7030.5177199999998</v>
      </c>
      <c r="G51" s="160">
        <v>1752.2114300000001</v>
      </c>
      <c r="H51" s="143">
        <f t="shared" si="4"/>
        <v>75.07706402594772</v>
      </c>
      <c r="I51" s="160">
        <v>16.422799999999999</v>
      </c>
      <c r="J51" s="160">
        <v>0</v>
      </c>
      <c r="K51" s="143">
        <f t="shared" si="1"/>
        <v>100</v>
      </c>
      <c r="L51" s="160">
        <v>3751.1</v>
      </c>
      <c r="M51" s="61">
        <v>282.95</v>
      </c>
      <c r="N51" s="61">
        <v>0</v>
      </c>
      <c r="O51" s="77">
        <v>0</v>
      </c>
      <c r="P51" s="77">
        <v>0</v>
      </c>
      <c r="Q51" s="77">
        <v>0</v>
      </c>
      <c r="R51" s="77">
        <v>0</v>
      </c>
    </row>
    <row r="52" spans="1:18" ht="30" x14ac:dyDescent="0.25">
      <c r="A52" s="13">
        <v>46</v>
      </c>
      <c r="B52" s="62" t="s">
        <v>58</v>
      </c>
      <c r="C52" s="160">
        <v>32815.73401</v>
      </c>
      <c r="D52" s="160">
        <v>12795.63292</v>
      </c>
      <c r="E52" s="143">
        <f t="shared" si="0"/>
        <v>61.007628486686407</v>
      </c>
      <c r="F52" s="160">
        <v>6610.4849899999999</v>
      </c>
      <c r="G52" s="160">
        <v>2015.3390999999999</v>
      </c>
      <c r="H52" s="143">
        <f t="shared" si="4"/>
        <v>69.512991814538566</v>
      </c>
      <c r="I52" s="160">
        <v>51.88</v>
      </c>
      <c r="J52" s="160">
        <v>0</v>
      </c>
      <c r="K52" s="143">
        <f t="shared" si="1"/>
        <v>100</v>
      </c>
      <c r="L52" s="160">
        <v>1943.1</v>
      </c>
      <c r="M52" s="61">
        <v>0</v>
      </c>
      <c r="N52" s="61">
        <v>0</v>
      </c>
      <c r="O52" s="77">
        <v>0</v>
      </c>
      <c r="P52" s="77">
        <v>0</v>
      </c>
      <c r="Q52" s="77">
        <v>0</v>
      </c>
      <c r="R52" s="77">
        <v>0</v>
      </c>
    </row>
    <row r="53" spans="1:18" ht="30" x14ac:dyDescent="0.25">
      <c r="A53" s="13">
        <v>47</v>
      </c>
      <c r="B53" s="62" t="s">
        <v>59</v>
      </c>
      <c r="C53" s="160">
        <v>6264.9893599999996</v>
      </c>
      <c r="D53" s="160">
        <v>1560.39868</v>
      </c>
      <c r="E53" s="143">
        <f t="shared" si="0"/>
        <v>75.093354667724441</v>
      </c>
      <c r="F53" s="160">
        <v>5895.7290300000004</v>
      </c>
      <c r="G53" s="160">
        <v>1408.9574</v>
      </c>
      <c r="H53" s="143">
        <f t="shared" si="4"/>
        <v>76.102066549690122</v>
      </c>
      <c r="I53" s="160">
        <v>10</v>
      </c>
      <c r="J53" s="160">
        <v>0</v>
      </c>
      <c r="K53" s="143">
        <f t="shared" si="1"/>
        <v>100</v>
      </c>
      <c r="L53" s="160">
        <v>2556.41</v>
      </c>
      <c r="M53" s="61">
        <v>436.13</v>
      </c>
      <c r="N53" s="61">
        <v>0</v>
      </c>
      <c r="O53" s="77">
        <v>0</v>
      </c>
      <c r="P53" s="77">
        <v>0</v>
      </c>
      <c r="Q53" s="77">
        <v>0</v>
      </c>
      <c r="R53" s="77">
        <v>0</v>
      </c>
    </row>
    <row r="54" spans="1:18" ht="30" x14ac:dyDescent="0.25">
      <c r="A54" s="13">
        <v>48</v>
      </c>
      <c r="B54" s="62" t="s">
        <v>60</v>
      </c>
      <c r="C54" s="160">
        <v>7935.2151599999997</v>
      </c>
      <c r="D54" s="160">
        <v>821.37841000000003</v>
      </c>
      <c r="E54" s="143">
        <f t="shared" si="0"/>
        <v>89.64894595246237</v>
      </c>
      <c r="F54" s="160">
        <v>4825.5020400000003</v>
      </c>
      <c r="G54" s="160">
        <v>1426.14642</v>
      </c>
      <c r="H54" s="143">
        <f t="shared" si="4"/>
        <v>70.445636367402713</v>
      </c>
      <c r="I54" s="160">
        <v>11.016999999999999</v>
      </c>
      <c r="J54" s="160">
        <v>0</v>
      </c>
      <c r="K54" s="143">
        <f t="shared" si="1"/>
        <v>100</v>
      </c>
      <c r="L54" s="160">
        <v>1039.8</v>
      </c>
      <c r="M54" s="61">
        <v>0</v>
      </c>
      <c r="N54" s="61">
        <v>0</v>
      </c>
      <c r="O54" s="77">
        <v>0</v>
      </c>
      <c r="P54" s="77">
        <v>0</v>
      </c>
      <c r="Q54" s="77">
        <v>0</v>
      </c>
      <c r="R54" s="77">
        <v>0</v>
      </c>
    </row>
    <row r="55" spans="1:18" ht="30" x14ac:dyDescent="0.25">
      <c r="A55" s="13">
        <v>49</v>
      </c>
      <c r="B55" s="62" t="s">
        <v>61</v>
      </c>
      <c r="C55" s="160">
        <v>13608.201230000001</v>
      </c>
      <c r="D55" s="160">
        <v>8832.8145499999991</v>
      </c>
      <c r="E55" s="143">
        <f>((C55-D55)/C55)*100</f>
        <v>35.091975782018928</v>
      </c>
      <c r="F55" s="160">
        <v>5486.3267699999997</v>
      </c>
      <c r="G55" s="160">
        <v>1794.1961699999999</v>
      </c>
      <c r="H55" s="143">
        <f t="shared" si="4"/>
        <v>67.296950305422655</v>
      </c>
      <c r="I55" s="160">
        <v>24.59</v>
      </c>
      <c r="J55" s="160">
        <v>0</v>
      </c>
      <c r="K55" s="143">
        <f t="shared" si="1"/>
        <v>100</v>
      </c>
      <c r="L55" s="160">
        <v>3806.73</v>
      </c>
      <c r="M55" s="61">
        <v>48.4</v>
      </c>
      <c r="N55" s="61">
        <v>0</v>
      </c>
      <c r="O55" s="77">
        <v>0</v>
      </c>
      <c r="P55" s="77">
        <v>0</v>
      </c>
      <c r="Q55" s="77">
        <v>0</v>
      </c>
      <c r="R55" s="77">
        <v>0</v>
      </c>
    </row>
    <row r="56" spans="1:18" ht="30" x14ac:dyDescent="0.25">
      <c r="A56" s="13">
        <v>50</v>
      </c>
      <c r="B56" s="62" t="s">
        <v>62</v>
      </c>
      <c r="C56" s="160">
        <v>25962.263660000001</v>
      </c>
      <c r="D56" s="160">
        <v>4046.0336900000002</v>
      </c>
      <c r="E56" s="143">
        <f t="shared" si="0"/>
        <v>84.415712963297125</v>
      </c>
      <c r="F56" s="160">
        <v>8860.4120299999995</v>
      </c>
      <c r="G56" s="160">
        <v>2236.5096800000001</v>
      </c>
      <c r="H56" s="143">
        <f t="shared" si="4"/>
        <v>74.758400936350128</v>
      </c>
      <c r="I56" s="160">
        <v>60.603250000000003</v>
      </c>
      <c r="J56" s="160">
        <v>0</v>
      </c>
      <c r="K56" s="143">
        <f t="shared" si="1"/>
        <v>100</v>
      </c>
      <c r="L56" s="160">
        <v>2766.8</v>
      </c>
      <c r="M56" s="61">
        <v>0</v>
      </c>
      <c r="N56" s="61">
        <v>0</v>
      </c>
      <c r="O56" s="77">
        <v>0</v>
      </c>
      <c r="P56" s="77">
        <v>0</v>
      </c>
      <c r="Q56" s="77">
        <v>0</v>
      </c>
      <c r="R56" s="77">
        <v>0</v>
      </c>
    </row>
    <row r="57" spans="1:18" ht="30" x14ac:dyDescent="0.25">
      <c r="A57" s="13">
        <v>51</v>
      </c>
      <c r="B57" s="62" t="s">
        <v>63</v>
      </c>
      <c r="C57" s="160">
        <v>5588.75407</v>
      </c>
      <c r="D57" s="160">
        <v>2475.9947099999999</v>
      </c>
      <c r="E57" s="143">
        <f t="shared" si="0"/>
        <v>55.696839063093719</v>
      </c>
      <c r="F57" s="160">
        <v>5011.4153800000004</v>
      </c>
      <c r="G57" s="160">
        <v>1919.91967</v>
      </c>
      <c r="H57" s="143">
        <f>((F57-G57)/F57)*100</f>
        <v>61.689073357156033</v>
      </c>
      <c r="I57" s="160">
        <v>69.074640000000002</v>
      </c>
      <c r="J57" s="160">
        <v>0</v>
      </c>
      <c r="K57" s="143">
        <f t="shared" si="1"/>
        <v>100</v>
      </c>
      <c r="L57" s="160">
        <v>1186.5</v>
      </c>
      <c r="M57" s="61">
        <v>0</v>
      </c>
      <c r="N57" s="61">
        <v>0</v>
      </c>
      <c r="O57" s="77">
        <v>0</v>
      </c>
      <c r="P57" s="77">
        <v>0</v>
      </c>
      <c r="Q57" s="77">
        <v>0</v>
      </c>
      <c r="R57" s="77">
        <v>0</v>
      </c>
    </row>
    <row r="58" spans="1:18" ht="30" x14ac:dyDescent="0.25">
      <c r="A58" s="13">
        <v>52</v>
      </c>
      <c r="B58" s="62" t="s">
        <v>64</v>
      </c>
      <c r="C58" s="160">
        <v>59769.39615</v>
      </c>
      <c r="D58" s="160">
        <v>0</v>
      </c>
      <c r="E58" s="143">
        <f t="shared" si="0"/>
        <v>100</v>
      </c>
      <c r="F58" s="160">
        <v>6449.3380999999999</v>
      </c>
      <c r="G58" s="160">
        <v>1640.7793200000001</v>
      </c>
      <c r="H58" s="143">
        <f>((F58-G58)/F58)*100</f>
        <v>74.558950165754212</v>
      </c>
      <c r="I58" s="160">
        <v>25.896999999999998</v>
      </c>
      <c r="J58" s="160">
        <v>0</v>
      </c>
      <c r="K58" s="143">
        <f t="shared" si="1"/>
        <v>100</v>
      </c>
      <c r="L58" s="160">
        <v>3214.66</v>
      </c>
      <c r="M58" s="61">
        <v>0</v>
      </c>
      <c r="N58" s="61">
        <v>0</v>
      </c>
      <c r="O58" s="77">
        <v>0</v>
      </c>
      <c r="P58" s="77">
        <v>0</v>
      </c>
      <c r="Q58" s="77">
        <v>0</v>
      </c>
      <c r="R58" s="77">
        <v>0</v>
      </c>
    </row>
    <row r="59" spans="1:18" ht="30" x14ac:dyDescent="0.25">
      <c r="A59" s="13">
        <v>53</v>
      </c>
      <c r="B59" s="62" t="s">
        <v>65</v>
      </c>
      <c r="C59" s="160">
        <v>18668.31494</v>
      </c>
      <c r="D59" s="160">
        <v>13272.30838</v>
      </c>
      <c r="E59" s="143">
        <f t="shared" si="0"/>
        <v>28.904625711226618</v>
      </c>
      <c r="F59" s="160">
        <v>7720.8971300000003</v>
      </c>
      <c r="G59" s="160">
        <v>473.66764000000001</v>
      </c>
      <c r="H59" s="143">
        <f t="shared" ref="H59:H77" si="5">((F59-G59)/F59)*100</f>
        <v>93.865121733593156</v>
      </c>
      <c r="I59" s="160">
        <v>29.77</v>
      </c>
      <c r="J59" s="160">
        <v>0</v>
      </c>
      <c r="K59" s="143">
        <f t="shared" si="1"/>
        <v>100</v>
      </c>
      <c r="L59" s="160">
        <v>3611.4</v>
      </c>
      <c r="M59" s="61">
        <v>0</v>
      </c>
      <c r="N59" s="61">
        <v>0</v>
      </c>
      <c r="O59" s="77">
        <v>0</v>
      </c>
      <c r="P59" s="77">
        <v>0</v>
      </c>
      <c r="Q59" s="77">
        <v>0</v>
      </c>
      <c r="R59" s="77">
        <v>0</v>
      </c>
    </row>
    <row r="60" spans="1:18" ht="30" x14ac:dyDescent="0.25">
      <c r="A60" s="13">
        <v>54</v>
      </c>
      <c r="B60" s="62" t="s">
        <v>66</v>
      </c>
      <c r="C60" s="160">
        <v>49287.292690000002</v>
      </c>
      <c r="D60" s="160">
        <v>31354.986840000001</v>
      </c>
      <c r="E60" s="143">
        <f t="shared" si="0"/>
        <v>36.383223486808234</v>
      </c>
      <c r="F60" s="160">
        <v>5115.3878599999998</v>
      </c>
      <c r="G60" s="160">
        <v>1018.87521</v>
      </c>
      <c r="H60" s="143">
        <f t="shared" si="5"/>
        <v>80.082151385486526</v>
      </c>
      <c r="I60" s="160">
        <v>130.25458</v>
      </c>
      <c r="J60" s="160">
        <v>16.594360000000002</v>
      </c>
      <c r="K60" s="143">
        <f t="shared" si="1"/>
        <v>87.260056421816429</v>
      </c>
      <c r="L60" s="160">
        <v>2945.08</v>
      </c>
      <c r="M60" s="61">
        <v>0</v>
      </c>
      <c r="N60" s="61">
        <v>0</v>
      </c>
      <c r="O60" s="77">
        <v>0</v>
      </c>
      <c r="P60" s="77">
        <v>0</v>
      </c>
      <c r="Q60" s="77">
        <v>0</v>
      </c>
      <c r="R60" s="77">
        <v>0</v>
      </c>
    </row>
    <row r="61" spans="1:18" ht="30" x14ac:dyDescent="0.25">
      <c r="A61" s="13">
        <v>55</v>
      </c>
      <c r="B61" s="62" t="s">
        <v>67</v>
      </c>
      <c r="C61" s="160">
        <v>32622.15005</v>
      </c>
      <c r="D61" s="160">
        <v>3040.8182499999998</v>
      </c>
      <c r="E61" s="143">
        <f t="shared" si="0"/>
        <v>90.678670028372338</v>
      </c>
      <c r="F61" s="160">
        <v>10069.117029999999</v>
      </c>
      <c r="G61" s="160">
        <v>2579.8029700000002</v>
      </c>
      <c r="H61" s="143">
        <f t="shared" si="5"/>
        <v>74.379054664736572</v>
      </c>
      <c r="I61" s="160">
        <v>86.948350000000005</v>
      </c>
      <c r="J61" s="160">
        <v>0</v>
      </c>
      <c r="K61" s="143">
        <f t="shared" si="1"/>
        <v>100</v>
      </c>
      <c r="L61" s="160">
        <v>2965.26</v>
      </c>
      <c r="M61" s="61">
        <v>81.3</v>
      </c>
      <c r="N61" s="61">
        <v>0</v>
      </c>
      <c r="O61" s="77">
        <v>0</v>
      </c>
      <c r="P61" s="77">
        <v>0</v>
      </c>
      <c r="Q61" s="77">
        <v>0</v>
      </c>
      <c r="R61" s="77">
        <v>0</v>
      </c>
    </row>
    <row r="62" spans="1:18" ht="30" x14ac:dyDescent="0.25">
      <c r="A62" s="13">
        <v>56</v>
      </c>
      <c r="B62" s="62" t="s">
        <v>68</v>
      </c>
      <c r="C62" s="160">
        <v>3435.2156100000002</v>
      </c>
      <c r="D62" s="160">
        <v>1386.91497</v>
      </c>
      <c r="E62" s="143">
        <f t="shared" si="0"/>
        <v>59.626552523729373</v>
      </c>
      <c r="F62" s="160">
        <v>2796.2620299999999</v>
      </c>
      <c r="G62" s="160">
        <v>644.92124999999999</v>
      </c>
      <c r="H62" s="143">
        <f t="shared" si="5"/>
        <v>76.936308433154963</v>
      </c>
      <c r="I62" s="160">
        <v>23</v>
      </c>
      <c r="J62" s="160">
        <v>0</v>
      </c>
      <c r="K62" s="143">
        <f t="shared" si="1"/>
        <v>100</v>
      </c>
      <c r="L62" s="160">
        <v>1070</v>
      </c>
      <c r="M62" s="61">
        <v>0</v>
      </c>
      <c r="N62" s="61">
        <v>0</v>
      </c>
      <c r="O62" s="77">
        <v>0</v>
      </c>
      <c r="P62" s="77">
        <v>0</v>
      </c>
      <c r="Q62" s="77">
        <v>0</v>
      </c>
      <c r="R62" s="77">
        <v>0</v>
      </c>
    </row>
    <row r="63" spans="1:18" ht="30" x14ac:dyDescent="0.25">
      <c r="A63" s="13">
        <v>57</v>
      </c>
      <c r="B63" s="62" t="s">
        <v>69</v>
      </c>
      <c r="C63" s="160">
        <v>4657.8463300000003</v>
      </c>
      <c r="D63" s="160">
        <v>0</v>
      </c>
      <c r="E63" s="143">
        <f t="shared" si="0"/>
        <v>100</v>
      </c>
      <c r="F63" s="160">
        <v>3521.0859300000002</v>
      </c>
      <c r="G63" s="160">
        <v>637.60258999999996</v>
      </c>
      <c r="H63" s="143">
        <f t="shared" si="5"/>
        <v>81.891876464372459</v>
      </c>
      <c r="I63" s="160">
        <v>0</v>
      </c>
      <c r="J63" s="160">
        <f t="shared" ref="J63:J72" si="6">I63</f>
        <v>0</v>
      </c>
      <c r="K63" s="143">
        <v>0</v>
      </c>
      <c r="L63" s="160">
        <v>3372.9</v>
      </c>
      <c r="M63" s="61">
        <v>0</v>
      </c>
      <c r="N63" s="61">
        <v>43.6</v>
      </c>
      <c r="O63" s="77">
        <v>0</v>
      </c>
      <c r="P63" s="77">
        <v>0</v>
      </c>
      <c r="Q63" s="77">
        <v>0</v>
      </c>
      <c r="R63" s="77">
        <v>0</v>
      </c>
    </row>
    <row r="64" spans="1:18" x14ac:dyDescent="0.25">
      <c r="A64" s="13">
        <v>58</v>
      </c>
      <c r="B64" s="62" t="s">
        <v>70</v>
      </c>
      <c r="C64" s="160">
        <v>0</v>
      </c>
      <c r="D64" s="160">
        <v>0</v>
      </c>
      <c r="E64" s="143">
        <v>0</v>
      </c>
      <c r="F64" s="160">
        <v>934.73293000000001</v>
      </c>
      <c r="G64" s="160">
        <v>404.53656000000001</v>
      </c>
      <c r="H64" s="143">
        <f t="shared" si="5"/>
        <v>56.721695896602256</v>
      </c>
      <c r="I64" s="160">
        <v>0</v>
      </c>
      <c r="J64" s="160">
        <f t="shared" si="6"/>
        <v>0</v>
      </c>
      <c r="K64" s="143">
        <v>0</v>
      </c>
      <c r="L64" s="160">
        <v>0</v>
      </c>
      <c r="M64" s="61">
        <v>0</v>
      </c>
      <c r="N64" s="61">
        <v>0</v>
      </c>
      <c r="O64" s="77">
        <v>0</v>
      </c>
      <c r="P64" s="77">
        <v>0</v>
      </c>
      <c r="Q64" s="77">
        <v>0</v>
      </c>
      <c r="R64" s="77">
        <v>0</v>
      </c>
    </row>
    <row r="65" spans="1:18" x14ac:dyDescent="0.25">
      <c r="A65" s="13">
        <v>59</v>
      </c>
      <c r="B65" s="62" t="s">
        <v>71</v>
      </c>
      <c r="C65" s="160">
        <v>0</v>
      </c>
      <c r="D65" s="160">
        <v>0</v>
      </c>
      <c r="E65" s="143">
        <v>0</v>
      </c>
      <c r="F65" s="160">
        <v>333.23334</v>
      </c>
      <c r="G65" s="160">
        <v>6.1826499999999998</v>
      </c>
      <c r="H65" s="143">
        <f t="shared" si="5"/>
        <v>98.144648431636512</v>
      </c>
      <c r="I65" s="160">
        <v>18.399999999999999</v>
      </c>
      <c r="J65" s="160">
        <v>0</v>
      </c>
      <c r="K65" s="143">
        <f t="shared" si="1"/>
        <v>100</v>
      </c>
      <c r="L65" s="160">
        <v>0</v>
      </c>
      <c r="M65" s="61">
        <v>0</v>
      </c>
      <c r="N65" s="61">
        <v>0</v>
      </c>
      <c r="O65" s="77">
        <v>0</v>
      </c>
      <c r="P65" s="77">
        <v>0</v>
      </c>
      <c r="Q65" s="77">
        <v>0</v>
      </c>
      <c r="R65" s="77">
        <v>0</v>
      </c>
    </row>
    <row r="66" spans="1:18" x14ac:dyDescent="0.25">
      <c r="A66" s="13">
        <v>60</v>
      </c>
      <c r="B66" s="62" t="s">
        <v>72</v>
      </c>
      <c r="C66" s="160">
        <v>0</v>
      </c>
      <c r="D66" s="160">
        <v>0</v>
      </c>
      <c r="E66" s="143">
        <v>0</v>
      </c>
      <c r="F66" s="160">
        <v>1864.5744500000001</v>
      </c>
      <c r="G66" s="160">
        <v>3.0664899999999999</v>
      </c>
      <c r="H66" s="143">
        <f t="shared" si="5"/>
        <v>99.835539417586688</v>
      </c>
      <c r="I66" s="160">
        <v>233</v>
      </c>
      <c r="J66" s="160">
        <v>111.91658</v>
      </c>
      <c r="K66" s="143">
        <f t="shared" si="1"/>
        <v>51.967133047210304</v>
      </c>
      <c r="L66" s="160">
        <v>0</v>
      </c>
      <c r="M66" s="61">
        <v>0</v>
      </c>
      <c r="N66" s="61">
        <v>0</v>
      </c>
      <c r="O66" s="77">
        <v>0</v>
      </c>
      <c r="P66" s="77">
        <v>0</v>
      </c>
      <c r="Q66" s="77">
        <v>0</v>
      </c>
      <c r="R66" s="77">
        <v>0</v>
      </c>
    </row>
    <row r="67" spans="1:18" x14ac:dyDescent="0.25">
      <c r="A67" s="13">
        <v>61</v>
      </c>
      <c r="B67" s="62" t="s">
        <v>73</v>
      </c>
      <c r="C67" s="160">
        <v>0</v>
      </c>
      <c r="D67" s="160">
        <v>0</v>
      </c>
      <c r="E67" s="143">
        <v>0</v>
      </c>
      <c r="F67" s="160">
        <v>1165.0294200000001</v>
      </c>
      <c r="G67" s="160">
        <v>929.83678999999995</v>
      </c>
      <c r="H67" s="143">
        <f t="shared" si="5"/>
        <v>20.187698779314957</v>
      </c>
      <c r="I67" s="160">
        <v>0</v>
      </c>
      <c r="J67" s="160">
        <f t="shared" si="6"/>
        <v>0</v>
      </c>
      <c r="K67" s="143">
        <v>0</v>
      </c>
      <c r="L67" s="160">
        <v>0</v>
      </c>
      <c r="M67" s="61">
        <v>0</v>
      </c>
      <c r="N67" s="61">
        <v>0</v>
      </c>
      <c r="O67" s="77">
        <v>0</v>
      </c>
      <c r="P67" s="77">
        <v>0</v>
      </c>
      <c r="Q67" s="77">
        <v>0</v>
      </c>
      <c r="R67" s="77">
        <v>0</v>
      </c>
    </row>
    <row r="68" spans="1:18" x14ac:dyDescent="0.25">
      <c r="A68" s="13">
        <v>62</v>
      </c>
      <c r="B68" s="62" t="s">
        <v>74</v>
      </c>
      <c r="C68" s="160">
        <v>0</v>
      </c>
      <c r="D68" s="160">
        <v>0</v>
      </c>
      <c r="E68" s="143">
        <v>0</v>
      </c>
      <c r="F68" s="160">
        <v>1582.86013</v>
      </c>
      <c r="G68" s="160">
        <v>85.173810000000003</v>
      </c>
      <c r="H68" s="143">
        <f t="shared" si="5"/>
        <v>94.618993277694102</v>
      </c>
      <c r="I68" s="160">
        <v>0</v>
      </c>
      <c r="J68" s="160">
        <f t="shared" si="6"/>
        <v>0</v>
      </c>
      <c r="K68" s="143">
        <v>0</v>
      </c>
      <c r="L68" s="160">
        <v>0</v>
      </c>
      <c r="M68" s="61">
        <v>0</v>
      </c>
      <c r="N68" s="61">
        <v>0</v>
      </c>
      <c r="O68" s="77">
        <v>0</v>
      </c>
      <c r="P68" s="77">
        <v>0</v>
      </c>
      <c r="Q68" s="77">
        <v>0</v>
      </c>
      <c r="R68" s="77">
        <v>0</v>
      </c>
    </row>
    <row r="69" spans="1:18" ht="30" x14ac:dyDescent="0.25">
      <c r="A69" s="13">
        <v>63</v>
      </c>
      <c r="B69" s="62" t="s">
        <v>75</v>
      </c>
      <c r="C69" s="160">
        <v>0</v>
      </c>
      <c r="D69" s="160">
        <v>0</v>
      </c>
      <c r="E69" s="143">
        <v>0</v>
      </c>
      <c r="F69" s="160">
        <v>0</v>
      </c>
      <c r="G69" s="160">
        <v>0</v>
      </c>
      <c r="H69" s="143">
        <v>0</v>
      </c>
      <c r="I69" s="160">
        <v>0</v>
      </c>
      <c r="J69" s="160">
        <f t="shared" si="6"/>
        <v>0</v>
      </c>
      <c r="K69" s="143">
        <v>0</v>
      </c>
      <c r="L69" s="160">
        <v>369.74</v>
      </c>
      <c r="M69" s="61">
        <v>0</v>
      </c>
      <c r="N69" s="61">
        <v>0</v>
      </c>
      <c r="O69" s="77">
        <v>0</v>
      </c>
      <c r="P69" s="77">
        <v>0</v>
      </c>
      <c r="Q69" s="77">
        <v>0</v>
      </c>
      <c r="R69" s="77">
        <v>0</v>
      </c>
    </row>
    <row r="70" spans="1:18" x14ac:dyDescent="0.25">
      <c r="A70" s="13">
        <v>64</v>
      </c>
      <c r="B70" s="62" t="s">
        <v>76</v>
      </c>
      <c r="C70" s="160">
        <v>6323.6507199999996</v>
      </c>
      <c r="D70" s="160">
        <v>1882.31566</v>
      </c>
      <c r="E70" s="143">
        <f>((C70-D70)/C70)*100</f>
        <v>70.233718727589675</v>
      </c>
      <c r="F70" s="160">
        <v>3446.3014499999999</v>
      </c>
      <c r="G70" s="160">
        <v>1743.60301</v>
      </c>
      <c r="H70" s="143">
        <f t="shared" si="5"/>
        <v>49.406543934222583</v>
      </c>
      <c r="I70" s="160">
        <v>12.33642</v>
      </c>
      <c r="J70" s="160">
        <v>0</v>
      </c>
      <c r="K70" s="143">
        <f t="shared" si="1"/>
        <v>100</v>
      </c>
      <c r="L70" s="160">
        <v>1668</v>
      </c>
      <c r="M70" s="61">
        <v>271.89999999999998</v>
      </c>
      <c r="N70" s="61">
        <v>0</v>
      </c>
      <c r="O70" s="77">
        <v>0</v>
      </c>
      <c r="P70" s="77">
        <v>0</v>
      </c>
      <c r="Q70" s="77">
        <v>0</v>
      </c>
      <c r="R70" s="77">
        <v>0</v>
      </c>
    </row>
    <row r="71" spans="1:18" ht="30" x14ac:dyDescent="0.25">
      <c r="A71" s="13">
        <v>65</v>
      </c>
      <c r="B71" s="62" t="s">
        <v>77</v>
      </c>
      <c r="C71" s="160">
        <v>0</v>
      </c>
      <c r="D71" s="160">
        <v>0</v>
      </c>
      <c r="E71" s="143">
        <v>0</v>
      </c>
      <c r="F71" s="160">
        <v>336.66343000000001</v>
      </c>
      <c r="G71" s="160">
        <v>0</v>
      </c>
      <c r="H71" s="143">
        <f t="shared" si="5"/>
        <v>100</v>
      </c>
      <c r="I71" s="160">
        <v>0</v>
      </c>
      <c r="J71" s="160">
        <f t="shared" si="6"/>
        <v>0</v>
      </c>
      <c r="K71" s="143">
        <v>0</v>
      </c>
      <c r="L71" s="160">
        <v>0</v>
      </c>
      <c r="M71" s="61">
        <v>0</v>
      </c>
      <c r="N71" s="61">
        <v>0</v>
      </c>
      <c r="O71" s="77">
        <v>0</v>
      </c>
      <c r="P71" s="77">
        <v>0</v>
      </c>
      <c r="Q71" s="77">
        <v>0</v>
      </c>
      <c r="R71" s="77">
        <v>0</v>
      </c>
    </row>
    <row r="72" spans="1:18" x14ac:dyDescent="0.25">
      <c r="A72" s="13">
        <v>66</v>
      </c>
      <c r="B72" s="62" t="s">
        <v>78</v>
      </c>
      <c r="C72" s="139">
        <v>0</v>
      </c>
      <c r="D72" s="139">
        <v>0</v>
      </c>
      <c r="E72" s="143">
        <v>0</v>
      </c>
      <c r="F72" s="160">
        <v>98.482659999999996</v>
      </c>
      <c r="G72" s="160">
        <v>0</v>
      </c>
      <c r="H72" s="143">
        <f t="shared" si="5"/>
        <v>100</v>
      </c>
      <c r="I72" s="160">
        <v>0</v>
      </c>
      <c r="J72" s="160">
        <f t="shared" si="6"/>
        <v>0</v>
      </c>
      <c r="K72" s="143">
        <v>0</v>
      </c>
      <c r="L72" s="139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</row>
    <row r="73" spans="1:18" s="10" customFormat="1" ht="60" x14ac:dyDescent="0.2">
      <c r="A73" s="13">
        <v>67</v>
      </c>
      <c r="B73" s="62" t="s">
        <v>149</v>
      </c>
      <c r="C73" s="139">
        <v>35</v>
      </c>
      <c r="D73" s="139">
        <v>0</v>
      </c>
      <c r="E73" s="143">
        <f>((C73-D73)/C73)*100</f>
        <v>100</v>
      </c>
      <c r="F73" s="139">
        <v>0</v>
      </c>
      <c r="G73" s="139">
        <v>0</v>
      </c>
      <c r="H73" s="143" t="s">
        <v>142</v>
      </c>
      <c r="I73" s="139">
        <v>11661.86</v>
      </c>
      <c r="J73" s="139">
        <v>2326.7800000000002</v>
      </c>
      <c r="K73" s="143">
        <f t="shared" si="1"/>
        <v>80.047951184459421</v>
      </c>
      <c r="L73" s="139">
        <v>184.4</v>
      </c>
      <c r="M73" s="18">
        <v>24</v>
      </c>
      <c r="N73" s="18">
        <v>160.4</v>
      </c>
      <c r="O73" s="18" t="s">
        <v>151</v>
      </c>
      <c r="P73" s="18">
        <v>23.94</v>
      </c>
      <c r="Q73" s="18">
        <v>0</v>
      </c>
      <c r="R73" s="18">
        <v>23.94</v>
      </c>
    </row>
    <row r="74" spans="1:18" ht="60" x14ac:dyDescent="0.25">
      <c r="A74" s="13">
        <v>68</v>
      </c>
      <c r="B74" s="62" t="s">
        <v>144</v>
      </c>
      <c r="C74" s="162">
        <v>417.46</v>
      </c>
      <c r="D74" s="162">
        <v>53.83</v>
      </c>
      <c r="E74" s="143">
        <f>((C74-D74)/C74)*100</f>
        <v>87.105351410913627</v>
      </c>
      <c r="F74" s="165">
        <v>798.68</v>
      </c>
      <c r="G74" s="165">
        <v>92.3</v>
      </c>
      <c r="H74" s="143">
        <f t="shared" si="5"/>
        <v>88.443431662242716</v>
      </c>
      <c r="I74" s="162">
        <v>183.19</v>
      </c>
      <c r="J74" s="162">
        <v>80.75</v>
      </c>
      <c r="K74" s="143">
        <f t="shared" ref="K74:K78" si="7">((I74-J74)/I74)*100</f>
        <v>55.920082973961463</v>
      </c>
      <c r="L74" s="143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</row>
    <row r="75" spans="1:18" ht="75" x14ac:dyDescent="0.25">
      <c r="A75" s="13">
        <v>69</v>
      </c>
      <c r="B75" s="62" t="s">
        <v>145</v>
      </c>
      <c r="C75" s="139">
        <v>4493.1000000000004</v>
      </c>
      <c r="D75" s="139">
        <v>2669.63</v>
      </c>
      <c r="E75" s="143">
        <f>((C75-D75)/C75)*100</f>
        <v>40.583784024392962</v>
      </c>
      <c r="F75" s="165">
        <v>1493.37</v>
      </c>
      <c r="G75" s="165">
        <v>119.74</v>
      </c>
      <c r="H75" s="143">
        <f t="shared" si="5"/>
        <v>91.98189330172697</v>
      </c>
      <c r="I75" s="139">
        <v>237.62</v>
      </c>
      <c r="J75" s="139">
        <v>0</v>
      </c>
      <c r="K75" s="143">
        <f t="shared" si="7"/>
        <v>100</v>
      </c>
      <c r="L75" s="143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</row>
    <row r="76" spans="1:18" ht="60" x14ac:dyDescent="0.25">
      <c r="A76" s="13">
        <v>70</v>
      </c>
      <c r="B76" s="62" t="s">
        <v>146</v>
      </c>
      <c r="C76" s="139">
        <v>1053</v>
      </c>
      <c r="D76" s="139">
        <v>0</v>
      </c>
      <c r="E76" s="143">
        <f>((C76-D76)/C76)*100</f>
        <v>100</v>
      </c>
      <c r="F76" s="165">
        <v>1488.87</v>
      </c>
      <c r="G76" s="165">
        <v>354.48</v>
      </c>
      <c r="H76" s="143">
        <f t="shared" si="5"/>
        <v>76.191339740877311</v>
      </c>
      <c r="I76" s="139">
        <v>223.1</v>
      </c>
      <c r="J76" s="139">
        <v>53.36</v>
      </c>
      <c r="K76" s="143">
        <f t="shared" si="7"/>
        <v>76.082474226804138</v>
      </c>
      <c r="L76" s="143">
        <v>321.35000000000002</v>
      </c>
      <c r="M76" s="18">
        <v>321.35000000000002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</row>
    <row r="77" spans="1:18" ht="60" x14ac:dyDescent="0.25">
      <c r="A77" s="13">
        <v>71</v>
      </c>
      <c r="B77" s="62" t="s">
        <v>147</v>
      </c>
      <c r="C77" s="162">
        <v>5421.5</v>
      </c>
      <c r="D77" s="162">
        <v>0</v>
      </c>
      <c r="E77" s="143">
        <f>((C77-D77)/C77)*100</f>
        <v>100</v>
      </c>
      <c r="F77" s="165">
        <v>1629.3</v>
      </c>
      <c r="G77" s="165">
        <v>118.04</v>
      </c>
      <c r="H77" s="143">
        <f t="shared" si="5"/>
        <v>92.755170932302221</v>
      </c>
      <c r="I77" s="162">
        <v>282.45</v>
      </c>
      <c r="J77" s="162">
        <v>41.1</v>
      </c>
      <c r="K77" s="143">
        <f t="shared" si="7"/>
        <v>85.448751991502931</v>
      </c>
      <c r="L77" s="166">
        <v>711</v>
      </c>
      <c r="M77" s="31">
        <v>246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</row>
    <row r="78" spans="1:18" x14ac:dyDescent="0.25">
      <c r="A78" s="13">
        <v>72</v>
      </c>
      <c r="B78" s="62" t="s">
        <v>148</v>
      </c>
      <c r="C78" s="139">
        <v>0</v>
      </c>
      <c r="D78" s="139">
        <v>0</v>
      </c>
      <c r="E78" s="143">
        <v>0</v>
      </c>
      <c r="F78" s="139">
        <v>845.2</v>
      </c>
      <c r="G78" s="139">
        <v>0</v>
      </c>
      <c r="H78" s="143">
        <f>((F78-G78)/F78)*100</f>
        <v>100</v>
      </c>
      <c r="I78" s="139">
        <v>1532.76</v>
      </c>
      <c r="J78" s="139"/>
      <c r="K78" s="143">
        <f t="shared" si="7"/>
        <v>100</v>
      </c>
      <c r="L78" s="166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</row>
    <row r="79" spans="1:18" x14ac:dyDescent="0.25">
      <c r="A79" s="9"/>
      <c r="B79" s="6" t="s">
        <v>130</v>
      </c>
      <c r="C79" s="167">
        <f>SUM(C7:C78)</f>
        <v>1359423.8084999998</v>
      </c>
      <c r="D79" s="167">
        <f>SUM(D7:D78)</f>
        <v>759077.00909999991</v>
      </c>
      <c r="E79" s="163">
        <f>((C79-D79)/C79)*100</f>
        <v>44.161857078435887</v>
      </c>
      <c r="F79" s="167">
        <f>SUM(F7:F78)</f>
        <v>371049.07700000005</v>
      </c>
      <c r="G79" s="167">
        <f>SUM(G7:G78)</f>
        <v>92277.181009999971</v>
      </c>
      <c r="H79" s="168">
        <f>((F79-G79)/F79)*100</f>
        <v>75.13073425324815</v>
      </c>
      <c r="I79" s="167">
        <f>SUM(I7:I78)</f>
        <v>21020.655929999994</v>
      </c>
      <c r="J79" s="167">
        <f>SUM(J7:J78)</f>
        <v>4178.3402000000006</v>
      </c>
      <c r="K79" s="168">
        <f>((I79-J79)/I79)*100</f>
        <v>80.122693535757804</v>
      </c>
      <c r="L79" s="167">
        <f>SUM(L7:L78)</f>
        <v>132557.21000000002</v>
      </c>
      <c r="M79" s="49">
        <f>SUM(M7:M78)</f>
        <v>3076.1600000000003</v>
      </c>
      <c r="N79" s="49">
        <f>SUM(N26:N78)</f>
        <v>204</v>
      </c>
      <c r="O79" s="49">
        <f>SUM(O73:O78)</f>
        <v>0</v>
      </c>
      <c r="P79" s="49">
        <f>SUM(P7:P78)</f>
        <v>23.94</v>
      </c>
      <c r="Q79" s="49">
        <f>SUM(Q73:Q78)</f>
        <v>0</v>
      </c>
      <c r="R79" s="49">
        <f>SUM(R73:R78)</f>
        <v>23.94</v>
      </c>
    </row>
    <row r="80" spans="1:18" hidden="1" x14ac:dyDescent="0.25">
      <c r="C80" s="82">
        <v>11420.72</v>
      </c>
      <c r="D80" s="82">
        <v>2723.46</v>
      </c>
      <c r="E80" s="164">
        <f>SUM(E7:E78)/72</f>
        <v>54.11436611509842</v>
      </c>
      <c r="F80" s="82">
        <v>6255.42</v>
      </c>
      <c r="G80" s="82">
        <v>684.56</v>
      </c>
      <c r="H80" s="164">
        <f>SUM(H7:H78)/72</f>
        <v>77.037640068270122</v>
      </c>
      <c r="I80" s="82">
        <v>14120.98</v>
      </c>
      <c r="J80" s="82">
        <v>2501.98</v>
      </c>
      <c r="K80" s="164">
        <v>82.28</v>
      </c>
      <c r="L80" s="82">
        <v>1216.75</v>
      </c>
      <c r="M80" s="7">
        <v>591.35</v>
      </c>
      <c r="N80" s="7">
        <v>160.4</v>
      </c>
      <c r="P80" s="7">
        <v>23.94</v>
      </c>
      <c r="R80" s="7">
        <v>23.94</v>
      </c>
    </row>
    <row r="81" spans="3:16" hidden="1" x14ac:dyDescent="0.25">
      <c r="C81" s="82">
        <f>1348003.75+C80-C79</f>
        <v>0.66150000016205013</v>
      </c>
      <c r="D81" s="82">
        <f>D80+756353.55-D79</f>
        <v>9.0000010095536709E-4</v>
      </c>
      <c r="F81" s="82">
        <f>F80+364793.66-F79</f>
        <v>2.9999999096617103E-3</v>
      </c>
      <c r="G81" s="82">
        <f>G80+91592.62-G79</f>
        <v>-1.0099999781232327E-3</v>
      </c>
      <c r="I81" s="82">
        <f>I80+6899.67593-I79</f>
        <v>0</v>
      </c>
      <c r="J81" s="82">
        <f>1676.3502-J79+J80</f>
        <v>-1.0000000000673026E-2</v>
      </c>
      <c r="L81" s="82">
        <f>131340.46-L79+L80</f>
        <v>-2.9103830456733704E-11</v>
      </c>
      <c r="M81" s="63">
        <f>2484.81+M80-M79</f>
        <v>0</v>
      </c>
      <c r="N81" s="79">
        <f>43.6+N80-N79</f>
        <v>0</v>
      </c>
      <c r="P81" s="79">
        <f>0+P80-P79</f>
        <v>0</v>
      </c>
    </row>
    <row r="82" spans="3:16" hidden="1" x14ac:dyDescent="0.25"/>
  </sheetData>
  <mergeCells count="10">
    <mergeCell ref="L5:L6"/>
    <mergeCell ref="M5:N5"/>
    <mergeCell ref="O5:O6"/>
    <mergeCell ref="P5:R5"/>
    <mergeCell ref="D2:J2"/>
    <mergeCell ref="A5:A6"/>
    <mergeCell ref="B5:B6"/>
    <mergeCell ref="C5:E5"/>
    <mergeCell ref="F5:H5"/>
    <mergeCell ref="I5:K5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zoomScale="85" zoomScaleNormal="85" workbookViewId="0">
      <pane xSplit="2" ySplit="6" topLeftCell="C76" activePane="bottomRight" state="frozen"/>
      <selection pane="topRight" activeCell="C1" sqref="C1"/>
      <selection pane="bottomLeft" activeCell="A7" sqref="A7"/>
      <selection pane="bottomRight" activeCell="A80" sqref="A80:XFD81"/>
    </sheetView>
  </sheetViews>
  <sheetFormatPr defaultColWidth="9.140625" defaultRowHeight="15" x14ac:dyDescent="0.25"/>
  <cols>
    <col min="1" max="1" width="3.140625" style="7" customWidth="1"/>
    <col min="2" max="2" width="41.7109375" style="7" customWidth="1"/>
    <col min="3" max="3" width="12.140625" style="115" bestFit="1" customWidth="1"/>
    <col min="4" max="4" width="14.85546875" style="7" customWidth="1"/>
    <col min="5" max="5" width="16.7109375" style="7" customWidth="1"/>
    <col min="6" max="6" width="13.28515625" style="115" customWidth="1"/>
    <col min="7" max="7" width="16.42578125" style="7" customWidth="1"/>
    <col min="8" max="8" width="15" style="7" customWidth="1"/>
    <col min="9" max="9" width="14.42578125" style="7" customWidth="1"/>
    <col min="10" max="10" width="14.42578125" style="82" customWidth="1"/>
    <col min="11" max="11" width="14.7109375" style="7" customWidth="1"/>
    <col min="12" max="12" width="13.7109375" style="115" customWidth="1"/>
    <col min="13" max="16384" width="9.140625" style="7"/>
  </cols>
  <sheetData>
    <row r="1" spans="1:12" ht="15.75" x14ac:dyDescent="0.25">
      <c r="L1" s="121" t="s">
        <v>140</v>
      </c>
    </row>
    <row r="2" spans="1:12" ht="39.75" customHeight="1" x14ac:dyDescent="0.25">
      <c r="D2" s="198" t="s">
        <v>153</v>
      </c>
      <c r="E2" s="198"/>
      <c r="F2" s="198"/>
      <c r="G2" s="198"/>
      <c r="H2" s="198"/>
      <c r="I2" s="198"/>
    </row>
    <row r="5" spans="1:12" ht="39" customHeight="1" x14ac:dyDescent="0.25">
      <c r="A5" s="211" t="s">
        <v>79</v>
      </c>
      <c r="B5" s="211" t="s">
        <v>87</v>
      </c>
      <c r="C5" s="211" t="s">
        <v>114</v>
      </c>
      <c r="D5" s="211"/>
      <c r="E5" s="211"/>
      <c r="F5" s="211" t="s">
        <v>115</v>
      </c>
      <c r="G5" s="211"/>
      <c r="H5" s="211"/>
      <c r="I5" s="211"/>
      <c r="J5" s="211" t="s">
        <v>116</v>
      </c>
      <c r="K5" s="211"/>
      <c r="L5" s="211"/>
    </row>
    <row r="6" spans="1:12" ht="63.75" x14ac:dyDescent="0.25">
      <c r="A6" s="211"/>
      <c r="B6" s="211"/>
      <c r="C6" s="116" t="s">
        <v>117</v>
      </c>
      <c r="D6" s="1" t="s">
        <v>118</v>
      </c>
      <c r="E6" s="1" t="s">
        <v>119</v>
      </c>
      <c r="F6" s="116" t="s">
        <v>117</v>
      </c>
      <c r="G6" s="1" t="s">
        <v>120</v>
      </c>
      <c r="H6" s="1" t="s">
        <v>121</v>
      </c>
      <c r="I6" s="1" t="s">
        <v>119</v>
      </c>
      <c r="J6" s="76" t="s">
        <v>122</v>
      </c>
      <c r="K6" s="1" t="s">
        <v>119</v>
      </c>
      <c r="L6" s="125" t="s">
        <v>0</v>
      </c>
    </row>
    <row r="7" spans="1:12" ht="30" x14ac:dyDescent="0.25">
      <c r="A7" s="13">
        <v>1</v>
      </c>
      <c r="B7" s="62" t="s">
        <v>14</v>
      </c>
      <c r="C7" s="117">
        <f>D7+E7</f>
        <v>0</v>
      </c>
      <c r="D7" s="80">
        <v>0</v>
      </c>
      <c r="E7" s="47">
        <v>0</v>
      </c>
      <c r="F7" s="120">
        <f t="shared" ref="F7:F70" si="0">SUM(G7:I7)</f>
        <v>0</v>
      </c>
      <c r="G7" s="48"/>
      <c r="H7" s="48"/>
      <c r="I7" s="48"/>
      <c r="J7" s="76">
        <v>685.44209999999998</v>
      </c>
      <c r="K7" s="64">
        <v>0</v>
      </c>
      <c r="L7" s="122">
        <f t="shared" ref="L7:L70" si="1">SUM(J7:K7)</f>
        <v>685.44209999999998</v>
      </c>
    </row>
    <row r="8" spans="1:12" ht="30" x14ac:dyDescent="0.25">
      <c r="A8" s="13">
        <v>2</v>
      </c>
      <c r="B8" s="62" t="s">
        <v>15</v>
      </c>
      <c r="C8" s="117">
        <f t="shared" ref="C8:C23" si="2">D8+E8</f>
        <v>0</v>
      </c>
      <c r="D8" s="80">
        <v>0</v>
      </c>
      <c r="E8" s="47">
        <v>0</v>
      </c>
      <c r="F8" s="120">
        <f t="shared" si="0"/>
        <v>0</v>
      </c>
      <c r="G8" s="48"/>
      <c r="H8" s="48"/>
      <c r="I8" s="48"/>
      <c r="J8" s="76">
        <v>526.57889999999998</v>
      </c>
      <c r="K8" s="64">
        <v>0</v>
      </c>
      <c r="L8" s="122">
        <f t="shared" si="1"/>
        <v>526.57889999999998</v>
      </c>
    </row>
    <row r="9" spans="1:12" ht="30" x14ac:dyDescent="0.25">
      <c r="A9" s="13">
        <v>3</v>
      </c>
      <c r="B9" s="62" t="s">
        <v>16</v>
      </c>
      <c r="C9" s="117">
        <f t="shared" si="2"/>
        <v>0</v>
      </c>
      <c r="D9" s="80">
        <v>0</v>
      </c>
      <c r="E9" s="47">
        <v>0</v>
      </c>
      <c r="F9" s="120">
        <f t="shared" si="0"/>
        <v>0</v>
      </c>
      <c r="G9" s="48"/>
      <c r="H9" s="48"/>
      <c r="I9" s="48"/>
      <c r="J9" s="76">
        <v>954.2</v>
      </c>
      <c r="K9" s="64">
        <v>0</v>
      </c>
      <c r="L9" s="122">
        <f t="shared" si="1"/>
        <v>954.2</v>
      </c>
    </row>
    <row r="10" spans="1:12" ht="30" x14ac:dyDescent="0.25">
      <c r="A10" s="13">
        <v>4</v>
      </c>
      <c r="B10" s="62" t="s">
        <v>17</v>
      </c>
      <c r="C10" s="117">
        <v>50.895760000000003</v>
      </c>
      <c r="D10" s="80">
        <v>50.895760000000003</v>
      </c>
      <c r="E10" s="47">
        <v>0</v>
      </c>
      <c r="F10" s="120">
        <f t="shared" si="0"/>
        <v>0</v>
      </c>
      <c r="G10" s="48"/>
      <c r="H10" s="48"/>
      <c r="I10" s="48"/>
      <c r="J10" s="76">
        <v>344.66980000000001</v>
      </c>
      <c r="K10" s="64">
        <v>0</v>
      </c>
      <c r="L10" s="122">
        <f t="shared" si="1"/>
        <v>344.66980000000001</v>
      </c>
    </row>
    <row r="11" spans="1:12" ht="30" x14ac:dyDescent="0.25">
      <c r="A11" s="13">
        <v>5</v>
      </c>
      <c r="B11" s="62" t="s">
        <v>18</v>
      </c>
      <c r="C11" s="117">
        <v>5964.9837799999996</v>
      </c>
      <c r="D11" s="80">
        <v>5964.9827800000003</v>
      </c>
      <c r="E11" s="47">
        <v>0</v>
      </c>
      <c r="F11" s="120">
        <f t="shared" si="0"/>
        <v>0</v>
      </c>
      <c r="G11" s="48"/>
      <c r="H11" s="48"/>
      <c r="I11" s="48"/>
      <c r="J11" s="76">
        <v>1502.36</v>
      </c>
      <c r="K11" s="64">
        <v>0</v>
      </c>
      <c r="L11" s="122">
        <f t="shared" si="1"/>
        <v>1502.36</v>
      </c>
    </row>
    <row r="12" spans="1:12" ht="30" x14ac:dyDescent="0.25">
      <c r="A12" s="13">
        <v>6</v>
      </c>
      <c r="B12" s="62" t="s">
        <v>19</v>
      </c>
      <c r="C12" s="117">
        <v>1050</v>
      </c>
      <c r="D12" s="80">
        <v>1050</v>
      </c>
      <c r="E12" s="47">
        <v>0</v>
      </c>
      <c r="F12" s="120">
        <f t="shared" si="0"/>
        <v>0</v>
      </c>
      <c r="G12" s="48"/>
      <c r="H12" s="48"/>
      <c r="I12" s="48"/>
      <c r="J12" s="76">
        <v>2185.9609999999998</v>
      </c>
      <c r="K12" s="64">
        <v>0</v>
      </c>
      <c r="L12" s="122">
        <f t="shared" si="1"/>
        <v>2185.9609999999998</v>
      </c>
    </row>
    <row r="13" spans="1:12" x14ac:dyDescent="0.25">
      <c r="A13" s="13">
        <v>7</v>
      </c>
      <c r="B13" s="62" t="s">
        <v>20</v>
      </c>
      <c r="C13" s="117">
        <v>50</v>
      </c>
      <c r="D13" s="80">
        <v>50</v>
      </c>
      <c r="E13" s="47">
        <v>0</v>
      </c>
      <c r="F13" s="120">
        <f t="shared" si="0"/>
        <v>0</v>
      </c>
      <c r="G13" s="48"/>
      <c r="H13" s="48"/>
      <c r="I13" s="48"/>
      <c r="J13" s="76">
        <v>1578.4</v>
      </c>
      <c r="K13" s="64">
        <v>0</v>
      </c>
      <c r="L13" s="122">
        <f t="shared" si="1"/>
        <v>1578.4</v>
      </c>
    </row>
    <row r="14" spans="1:12" ht="30" x14ac:dyDescent="0.25">
      <c r="A14" s="13">
        <v>8</v>
      </c>
      <c r="B14" s="62" t="s">
        <v>21</v>
      </c>
      <c r="C14" s="117">
        <f t="shared" si="2"/>
        <v>0</v>
      </c>
      <c r="D14" s="80">
        <v>0</v>
      </c>
      <c r="E14" s="47">
        <v>0</v>
      </c>
      <c r="F14" s="120">
        <f t="shared" si="0"/>
        <v>0</v>
      </c>
      <c r="G14" s="48"/>
      <c r="H14" s="48"/>
      <c r="I14" s="48"/>
      <c r="J14" s="76">
        <v>2724.89</v>
      </c>
      <c r="K14" s="64">
        <v>0</v>
      </c>
      <c r="L14" s="122">
        <f t="shared" si="1"/>
        <v>2724.89</v>
      </c>
    </row>
    <row r="15" spans="1:12" ht="30.75" customHeight="1" x14ac:dyDescent="0.25">
      <c r="A15" s="13">
        <v>9</v>
      </c>
      <c r="B15" s="62" t="s">
        <v>22</v>
      </c>
      <c r="C15" s="117">
        <f t="shared" si="2"/>
        <v>0</v>
      </c>
      <c r="D15" s="80">
        <v>0</v>
      </c>
      <c r="E15" s="47">
        <v>0</v>
      </c>
      <c r="F15" s="120">
        <f t="shared" si="0"/>
        <v>0</v>
      </c>
      <c r="G15" s="48"/>
      <c r="H15" s="48"/>
      <c r="I15" s="48"/>
      <c r="J15" s="76">
        <v>1273.3230000000001</v>
      </c>
      <c r="K15" s="64">
        <v>0</v>
      </c>
      <c r="L15" s="122">
        <f t="shared" si="1"/>
        <v>1273.3230000000001</v>
      </c>
    </row>
    <row r="16" spans="1:12" ht="30" x14ac:dyDescent="0.25">
      <c r="A16" s="13">
        <v>10</v>
      </c>
      <c r="B16" s="62" t="s">
        <v>23</v>
      </c>
      <c r="C16" s="117">
        <f t="shared" si="2"/>
        <v>0</v>
      </c>
      <c r="D16" s="80">
        <v>0</v>
      </c>
      <c r="E16" s="47">
        <v>0</v>
      </c>
      <c r="F16" s="120">
        <f t="shared" si="0"/>
        <v>0</v>
      </c>
      <c r="G16" s="48"/>
      <c r="H16" s="48"/>
      <c r="I16" s="48"/>
      <c r="J16" s="76">
        <v>956.47360000000003</v>
      </c>
      <c r="K16" s="64">
        <v>0</v>
      </c>
      <c r="L16" s="122">
        <f t="shared" si="1"/>
        <v>956.47360000000003</v>
      </c>
    </row>
    <row r="17" spans="1:12" ht="30" x14ac:dyDescent="0.25">
      <c r="A17" s="13">
        <v>11</v>
      </c>
      <c r="B17" s="62" t="s">
        <v>24</v>
      </c>
      <c r="C17" s="117">
        <v>16920.808270000001</v>
      </c>
      <c r="D17" s="80">
        <v>16920.808270000001</v>
      </c>
      <c r="E17" s="47">
        <v>0</v>
      </c>
      <c r="F17" s="120">
        <f t="shared" si="0"/>
        <v>0</v>
      </c>
      <c r="G17" s="48"/>
      <c r="H17" s="48"/>
      <c r="I17" s="48"/>
      <c r="J17" s="76">
        <v>2485.6950000000002</v>
      </c>
      <c r="K17" s="64">
        <v>0</v>
      </c>
      <c r="L17" s="122">
        <f t="shared" si="1"/>
        <v>2485.6950000000002</v>
      </c>
    </row>
    <row r="18" spans="1:12" ht="30" x14ac:dyDescent="0.25">
      <c r="A18" s="13">
        <v>12</v>
      </c>
      <c r="B18" s="62" t="s">
        <v>25</v>
      </c>
      <c r="C18" s="117">
        <f t="shared" si="2"/>
        <v>0</v>
      </c>
      <c r="D18" s="80">
        <v>0</v>
      </c>
      <c r="E18" s="47">
        <v>0</v>
      </c>
      <c r="F18" s="120">
        <f t="shared" si="0"/>
        <v>0</v>
      </c>
      <c r="G18" s="48"/>
      <c r="H18" s="48"/>
      <c r="I18" s="48"/>
      <c r="J18" s="76">
        <v>1939</v>
      </c>
      <c r="K18" s="64">
        <v>0</v>
      </c>
      <c r="L18" s="122">
        <f t="shared" si="1"/>
        <v>1939</v>
      </c>
    </row>
    <row r="19" spans="1:12" x14ac:dyDescent="0.25">
      <c r="A19" s="13">
        <v>13</v>
      </c>
      <c r="B19" s="62" t="s">
        <v>26</v>
      </c>
      <c r="C19" s="117">
        <v>841.36226999999997</v>
      </c>
      <c r="D19" s="80">
        <v>841.36226999999997</v>
      </c>
      <c r="E19" s="47">
        <v>0</v>
      </c>
      <c r="F19" s="120">
        <f t="shared" si="0"/>
        <v>0</v>
      </c>
      <c r="G19" s="48"/>
      <c r="H19" s="48"/>
      <c r="I19" s="48"/>
      <c r="J19" s="76">
        <v>4603.1610000000001</v>
      </c>
      <c r="K19" s="64">
        <v>0</v>
      </c>
      <c r="L19" s="122">
        <f t="shared" si="1"/>
        <v>4603.1610000000001</v>
      </c>
    </row>
    <row r="20" spans="1:12" ht="30" x14ac:dyDescent="0.25">
      <c r="A20" s="13">
        <v>14</v>
      </c>
      <c r="B20" s="62" t="s">
        <v>27</v>
      </c>
      <c r="C20" s="117">
        <v>169.3545</v>
      </c>
      <c r="D20" s="80">
        <v>169.3545</v>
      </c>
      <c r="E20" s="47">
        <v>0</v>
      </c>
      <c r="F20" s="120">
        <f t="shared" si="0"/>
        <v>0</v>
      </c>
      <c r="G20" s="48"/>
      <c r="H20" s="48"/>
      <c r="I20" s="48"/>
      <c r="J20" s="76">
        <v>539.08040000000005</v>
      </c>
      <c r="K20" s="64">
        <v>0</v>
      </c>
      <c r="L20" s="122">
        <f t="shared" si="1"/>
        <v>539.08040000000005</v>
      </c>
    </row>
    <row r="21" spans="1:12" ht="30" x14ac:dyDescent="0.25">
      <c r="A21" s="13">
        <v>15</v>
      </c>
      <c r="B21" s="71" t="s">
        <v>160</v>
      </c>
      <c r="C21" s="117">
        <f t="shared" si="2"/>
        <v>0</v>
      </c>
      <c r="D21" s="80">
        <v>0</v>
      </c>
      <c r="E21" s="47"/>
      <c r="F21" s="120">
        <f t="shared" si="0"/>
        <v>0</v>
      </c>
      <c r="G21" s="48"/>
      <c r="H21" s="48"/>
      <c r="I21" s="48"/>
      <c r="J21" s="76">
        <v>716.1567</v>
      </c>
      <c r="K21" s="64">
        <v>0</v>
      </c>
      <c r="L21" s="122">
        <f t="shared" si="1"/>
        <v>716.1567</v>
      </c>
    </row>
    <row r="22" spans="1:12" ht="30" x14ac:dyDescent="0.25">
      <c r="A22" s="13">
        <v>16</v>
      </c>
      <c r="B22" s="71" t="s">
        <v>28</v>
      </c>
      <c r="C22" s="117">
        <f t="shared" si="2"/>
        <v>0</v>
      </c>
      <c r="D22" s="80">
        <v>0</v>
      </c>
      <c r="E22" s="47">
        <v>0</v>
      </c>
      <c r="F22" s="120">
        <f t="shared" si="0"/>
        <v>0</v>
      </c>
      <c r="G22" s="48"/>
      <c r="H22" s="48"/>
      <c r="I22" s="48"/>
      <c r="J22" s="76">
        <v>765.14409999999998</v>
      </c>
      <c r="K22" s="64">
        <v>0</v>
      </c>
      <c r="L22" s="122">
        <f t="shared" si="1"/>
        <v>765.14409999999998</v>
      </c>
    </row>
    <row r="23" spans="1:12" ht="30" x14ac:dyDescent="0.25">
      <c r="A23" s="13">
        <v>17</v>
      </c>
      <c r="B23" s="71" t="s">
        <v>29</v>
      </c>
      <c r="C23" s="117">
        <f t="shared" si="2"/>
        <v>0</v>
      </c>
      <c r="D23" s="80">
        <v>0</v>
      </c>
      <c r="E23" s="47">
        <v>0</v>
      </c>
      <c r="F23" s="120">
        <f t="shared" si="0"/>
        <v>0</v>
      </c>
      <c r="G23" s="48"/>
      <c r="H23" s="48"/>
      <c r="I23" s="48"/>
      <c r="J23" s="76">
        <v>507.55020000000002</v>
      </c>
      <c r="K23" s="64">
        <v>0</v>
      </c>
      <c r="L23" s="122">
        <f t="shared" si="1"/>
        <v>507.55020000000002</v>
      </c>
    </row>
    <row r="24" spans="1:12" x14ac:dyDescent="0.25">
      <c r="A24" s="13">
        <v>18</v>
      </c>
      <c r="B24" s="71" t="s">
        <v>30</v>
      </c>
      <c r="C24" s="118">
        <f t="shared" ref="C24:C70" si="3">SUM(D24:E24)</f>
        <v>220.5</v>
      </c>
      <c r="D24" s="80">
        <v>220.5</v>
      </c>
      <c r="E24" s="47">
        <v>0</v>
      </c>
      <c r="F24" s="120">
        <f t="shared" si="0"/>
        <v>0</v>
      </c>
      <c r="G24" s="48"/>
      <c r="H24" s="48"/>
      <c r="I24" s="48"/>
      <c r="J24" s="76">
        <v>692.26</v>
      </c>
      <c r="K24" s="64">
        <v>0</v>
      </c>
      <c r="L24" s="122">
        <f t="shared" si="1"/>
        <v>692.26</v>
      </c>
    </row>
    <row r="25" spans="1:12" ht="30" x14ac:dyDescent="0.25">
      <c r="A25" s="13">
        <v>19</v>
      </c>
      <c r="B25" s="71" t="s">
        <v>31</v>
      </c>
      <c r="C25" s="118">
        <f t="shared" si="3"/>
        <v>7077.8677500000003</v>
      </c>
      <c r="D25" s="80">
        <v>7077.8677500000003</v>
      </c>
      <c r="E25" s="47">
        <v>0</v>
      </c>
      <c r="F25" s="120">
        <f t="shared" si="0"/>
        <v>0</v>
      </c>
      <c r="G25" s="48"/>
      <c r="H25" s="48"/>
      <c r="I25" s="48"/>
      <c r="J25" s="76">
        <v>287.65789999999998</v>
      </c>
      <c r="K25" s="64">
        <v>0</v>
      </c>
      <c r="L25" s="122">
        <f t="shared" si="1"/>
        <v>287.65789999999998</v>
      </c>
    </row>
    <row r="26" spans="1:12" ht="30" x14ac:dyDescent="0.25">
      <c r="A26" s="13">
        <v>20</v>
      </c>
      <c r="B26" s="71" t="s">
        <v>32</v>
      </c>
      <c r="C26" s="118">
        <f t="shared" si="3"/>
        <v>15054.62737</v>
      </c>
      <c r="D26" s="80">
        <v>15054.62737</v>
      </c>
      <c r="E26" s="47">
        <v>0</v>
      </c>
      <c r="F26" s="120">
        <f t="shared" si="0"/>
        <v>0</v>
      </c>
      <c r="G26" s="48"/>
      <c r="H26" s="48"/>
      <c r="I26" s="48"/>
      <c r="J26" s="76">
        <v>362.54399999999998</v>
      </c>
      <c r="K26" s="64">
        <v>0</v>
      </c>
      <c r="L26" s="122">
        <f t="shared" si="1"/>
        <v>362.54399999999998</v>
      </c>
    </row>
    <row r="27" spans="1:12" ht="30" x14ac:dyDescent="0.25">
      <c r="A27" s="13">
        <v>21</v>
      </c>
      <c r="B27" s="71" t="s">
        <v>33</v>
      </c>
      <c r="C27" s="118">
        <f t="shared" si="3"/>
        <v>20</v>
      </c>
      <c r="D27" s="80">
        <v>20</v>
      </c>
      <c r="E27" s="47">
        <v>0</v>
      </c>
      <c r="F27" s="120">
        <f t="shared" si="0"/>
        <v>0</v>
      </c>
      <c r="G27" s="48"/>
      <c r="H27" s="48"/>
      <c r="I27" s="48"/>
      <c r="J27" s="76">
        <v>482.661</v>
      </c>
      <c r="K27" s="64">
        <v>0</v>
      </c>
      <c r="L27" s="122">
        <f t="shared" si="1"/>
        <v>482.661</v>
      </c>
    </row>
    <row r="28" spans="1:12" ht="30" x14ac:dyDescent="0.25">
      <c r="A28" s="13">
        <v>22</v>
      </c>
      <c r="B28" s="71" t="s">
        <v>34</v>
      </c>
      <c r="C28" s="118">
        <f t="shared" si="3"/>
        <v>280</v>
      </c>
      <c r="D28" s="80">
        <v>280</v>
      </c>
      <c r="E28" s="47">
        <v>0</v>
      </c>
      <c r="F28" s="120">
        <f t="shared" si="0"/>
        <v>0</v>
      </c>
      <c r="G28" s="48"/>
      <c r="H28" s="48"/>
      <c r="I28" s="48"/>
      <c r="J28" s="76">
        <v>590.38689999999997</v>
      </c>
      <c r="K28" s="64">
        <v>0</v>
      </c>
      <c r="L28" s="122">
        <f t="shared" si="1"/>
        <v>590.38689999999997</v>
      </c>
    </row>
    <row r="29" spans="1:12" x14ac:dyDescent="0.25">
      <c r="A29" s="13">
        <v>23</v>
      </c>
      <c r="B29" s="71" t="s">
        <v>35</v>
      </c>
      <c r="C29" s="118">
        <f t="shared" si="3"/>
        <v>200</v>
      </c>
      <c r="D29" s="80">
        <v>200</v>
      </c>
      <c r="E29" s="47">
        <v>0</v>
      </c>
      <c r="F29" s="120">
        <f t="shared" si="0"/>
        <v>0</v>
      </c>
      <c r="G29" s="48"/>
      <c r="H29" s="48"/>
      <c r="I29" s="48"/>
      <c r="J29" s="76">
        <v>1204.104</v>
      </c>
      <c r="K29" s="64">
        <v>0</v>
      </c>
      <c r="L29" s="122">
        <f t="shared" si="1"/>
        <v>1204.104</v>
      </c>
    </row>
    <row r="30" spans="1:12" x14ac:dyDescent="0.25">
      <c r="A30" s="13">
        <v>24</v>
      </c>
      <c r="B30" s="71" t="s">
        <v>36</v>
      </c>
      <c r="C30" s="118">
        <f t="shared" si="3"/>
        <v>9584.0903400000007</v>
      </c>
      <c r="D30" s="80">
        <v>9584.0903400000007</v>
      </c>
      <c r="E30" s="47">
        <v>0</v>
      </c>
      <c r="F30" s="120">
        <f t="shared" si="0"/>
        <v>0</v>
      </c>
      <c r="G30" s="48"/>
      <c r="H30" s="48"/>
      <c r="I30" s="48"/>
      <c r="J30" s="76">
        <v>773.84050000000002</v>
      </c>
      <c r="K30" s="64">
        <v>0</v>
      </c>
      <c r="L30" s="122">
        <f t="shared" si="1"/>
        <v>773.84050000000002</v>
      </c>
    </row>
    <row r="31" spans="1:12" ht="30" x14ac:dyDescent="0.25">
      <c r="A31" s="13">
        <v>25</v>
      </c>
      <c r="B31" s="71" t="s">
        <v>37</v>
      </c>
      <c r="C31" s="118">
        <f t="shared" si="3"/>
        <v>5612.2653200000004</v>
      </c>
      <c r="D31" s="80">
        <v>5612.2653200000004</v>
      </c>
      <c r="E31" s="47">
        <v>0</v>
      </c>
      <c r="F31" s="120">
        <f t="shared" si="0"/>
        <v>0</v>
      </c>
      <c r="G31" s="48"/>
      <c r="H31" s="48"/>
      <c r="I31" s="48"/>
      <c r="J31" s="76">
        <v>1670.59</v>
      </c>
      <c r="K31" s="64">
        <v>0</v>
      </c>
      <c r="L31" s="122">
        <f t="shared" si="1"/>
        <v>1670.59</v>
      </c>
    </row>
    <row r="32" spans="1:12" ht="30" x14ac:dyDescent="0.25">
      <c r="A32" s="13">
        <v>26</v>
      </c>
      <c r="B32" s="71" t="s">
        <v>38</v>
      </c>
      <c r="C32" s="118">
        <f t="shared" si="3"/>
        <v>8924.6414199999999</v>
      </c>
      <c r="D32" s="80">
        <v>8924.6414199999999</v>
      </c>
      <c r="E32" s="47">
        <v>0</v>
      </c>
      <c r="F32" s="120">
        <f t="shared" si="0"/>
        <v>0</v>
      </c>
      <c r="G32" s="48"/>
      <c r="H32" s="48"/>
      <c r="I32" s="48"/>
      <c r="J32" s="76">
        <v>1195.5899999999999</v>
      </c>
      <c r="K32" s="64">
        <v>0</v>
      </c>
      <c r="L32" s="122">
        <f t="shared" si="1"/>
        <v>1195.5899999999999</v>
      </c>
    </row>
    <row r="33" spans="1:12" ht="30" x14ac:dyDescent="0.25">
      <c r="A33" s="13">
        <v>27</v>
      </c>
      <c r="B33" s="71" t="s">
        <v>39</v>
      </c>
      <c r="C33" s="118">
        <f t="shared" si="3"/>
        <v>650</v>
      </c>
      <c r="D33" s="80">
        <v>650</v>
      </c>
      <c r="E33" s="47">
        <v>0</v>
      </c>
      <c r="F33" s="120">
        <f t="shared" si="0"/>
        <v>0</v>
      </c>
      <c r="G33" s="48"/>
      <c r="H33" s="48"/>
      <c r="I33" s="48"/>
      <c r="J33" s="76">
        <v>831.57420000000002</v>
      </c>
      <c r="K33" s="64">
        <v>0</v>
      </c>
      <c r="L33" s="122">
        <f t="shared" si="1"/>
        <v>831.57420000000002</v>
      </c>
    </row>
    <row r="34" spans="1:12" x14ac:dyDescent="0.25">
      <c r="A34" s="13">
        <v>28</v>
      </c>
      <c r="B34" s="71" t="s">
        <v>40</v>
      </c>
      <c r="C34" s="118">
        <f t="shared" si="3"/>
        <v>11355.04248</v>
      </c>
      <c r="D34" s="80">
        <v>11355.04248</v>
      </c>
      <c r="E34" s="47">
        <v>0</v>
      </c>
      <c r="F34" s="120">
        <f t="shared" si="0"/>
        <v>0</v>
      </c>
      <c r="G34" s="48"/>
      <c r="H34" s="48"/>
      <c r="I34" s="48"/>
      <c r="J34" s="76">
        <v>564.44320000000005</v>
      </c>
      <c r="K34" s="64">
        <v>0</v>
      </c>
      <c r="L34" s="122">
        <f t="shared" si="1"/>
        <v>564.44320000000005</v>
      </c>
    </row>
    <row r="35" spans="1:12" ht="30" x14ac:dyDescent="0.25">
      <c r="A35" s="13">
        <v>29</v>
      </c>
      <c r="B35" s="71" t="s">
        <v>41</v>
      </c>
      <c r="C35" s="118">
        <f t="shared" si="3"/>
        <v>0</v>
      </c>
      <c r="D35" s="80">
        <v>0</v>
      </c>
      <c r="E35" s="47">
        <v>0</v>
      </c>
      <c r="F35" s="120">
        <f t="shared" si="0"/>
        <v>0</v>
      </c>
      <c r="G35" s="48"/>
      <c r="H35" s="48"/>
      <c r="I35" s="48"/>
      <c r="J35" s="76">
        <v>565.08360000000005</v>
      </c>
      <c r="K35" s="64">
        <v>0</v>
      </c>
      <c r="L35" s="122">
        <f t="shared" si="1"/>
        <v>565.08360000000005</v>
      </c>
    </row>
    <row r="36" spans="1:12" ht="30" x14ac:dyDescent="0.25">
      <c r="A36" s="13">
        <v>30</v>
      </c>
      <c r="B36" s="71" t="s">
        <v>42</v>
      </c>
      <c r="C36" s="118">
        <f t="shared" si="3"/>
        <v>0</v>
      </c>
      <c r="D36" s="80">
        <v>0</v>
      </c>
      <c r="E36" s="47">
        <v>0</v>
      </c>
      <c r="F36" s="120">
        <f t="shared" si="0"/>
        <v>0</v>
      </c>
      <c r="G36" s="48"/>
      <c r="H36" s="48"/>
      <c r="I36" s="48"/>
      <c r="J36" s="76">
        <v>0</v>
      </c>
      <c r="K36" s="64"/>
      <c r="L36" s="122">
        <f t="shared" si="1"/>
        <v>0</v>
      </c>
    </row>
    <row r="37" spans="1:12" ht="30" x14ac:dyDescent="0.25">
      <c r="A37" s="13">
        <v>31</v>
      </c>
      <c r="B37" s="71" t="s">
        <v>43</v>
      </c>
      <c r="C37" s="118">
        <f t="shared" si="3"/>
        <v>341.10496000000001</v>
      </c>
      <c r="D37" s="80">
        <v>341.10496000000001</v>
      </c>
      <c r="E37" s="47">
        <v>0</v>
      </c>
      <c r="F37" s="120">
        <f t="shared" si="0"/>
        <v>0</v>
      </c>
      <c r="G37" s="48"/>
      <c r="H37" s="48"/>
      <c r="I37" s="48"/>
      <c r="J37" s="76">
        <v>1704.5909999999999</v>
      </c>
      <c r="K37" s="64">
        <v>0</v>
      </c>
      <c r="L37" s="122">
        <f t="shared" si="1"/>
        <v>1704.5909999999999</v>
      </c>
    </row>
    <row r="38" spans="1:12" ht="30" x14ac:dyDescent="0.25">
      <c r="A38" s="13">
        <v>32</v>
      </c>
      <c r="B38" s="71" t="s">
        <v>44</v>
      </c>
      <c r="C38" s="118">
        <f t="shared" si="3"/>
        <v>0</v>
      </c>
      <c r="D38" s="80">
        <v>0</v>
      </c>
      <c r="E38" s="47">
        <v>0</v>
      </c>
      <c r="F38" s="120">
        <f t="shared" si="0"/>
        <v>0</v>
      </c>
      <c r="G38" s="48"/>
      <c r="H38" s="48"/>
      <c r="I38" s="48"/>
      <c r="J38" s="76">
        <v>2239.0500000000002</v>
      </c>
      <c r="K38" s="64">
        <v>0</v>
      </c>
      <c r="L38" s="122">
        <f t="shared" si="1"/>
        <v>2239.0500000000002</v>
      </c>
    </row>
    <row r="39" spans="1:12" ht="30" x14ac:dyDescent="0.25">
      <c r="A39" s="13">
        <v>33</v>
      </c>
      <c r="B39" s="71" t="s">
        <v>45</v>
      </c>
      <c r="C39" s="118">
        <f t="shared" si="3"/>
        <v>0</v>
      </c>
      <c r="D39" s="80">
        <v>0</v>
      </c>
      <c r="E39" s="47">
        <v>0</v>
      </c>
      <c r="F39" s="120">
        <f t="shared" si="0"/>
        <v>0</v>
      </c>
      <c r="G39" s="48"/>
      <c r="H39" s="48"/>
      <c r="I39" s="48"/>
      <c r="J39" s="76">
        <v>391</v>
      </c>
      <c r="K39" s="64">
        <v>0</v>
      </c>
      <c r="L39" s="122">
        <f t="shared" si="1"/>
        <v>391</v>
      </c>
    </row>
    <row r="40" spans="1:12" ht="30" x14ac:dyDescent="0.25">
      <c r="A40" s="13">
        <v>34</v>
      </c>
      <c r="B40" s="71" t="s">
        <v>46</v>
      </c>
      <c r="C40" s="118">
        <f t="shared" si="3"/>
        <v>0</v>
      </c>
      <c r="D40" s="80">
        <v>0</v>
      </c>
      <c r="E40" s="47">
        <v>0</v>
      </c>
      <c r="F40" s="120">
        <f t="shared" si="0"/>
        <v>0</v>
      </c>
      <c r="G40" s="48"/>
      <c r="H40" s="48"/>
      <c r="I40" s="48"/>
      <c r="J40" s="76">
        <v>226.5437</v>
      </c>
      <c r="K40" s="64">
        <v>0</v>
      </c>
      <c r="L40" s="122">
        <f t="shared" si="1"/>
        <v>226.5437</v>
      </c>
    </row>
    <row r="41" spans="1:12" ht="30" x14ac:dyDescent="0.25">
      <c r="A41" s="13">
        <v>35</v>
      </c>
      <c r="B41" s="62" t="s">
        <v>47</v>
      </c>
      <c r="C41" s="118">
        <f t="shared" si="3"/>
        <v>0</v>
      </c>
      <c r="D41" s="80">
        <v>0</v>
      </c>
      <c r="E41" s="47">
        <v>0</v>
      </c>
      <c r="F41" s="120">
        <f t="shared" si="0"/>
        <v>0</v>
      </c>
      <c r="G41" s="48"/>
      <c r="H41" s="48"/>
      <c r="I41" s="48"/>
      <c r="J41" s="76">
        <v>1789.8209999999999</v>
      </c>
      <c r="K41" s="64">
        <v>0</v>
      </c>
      <c r="L41" s="122">
        <f t="shared" si="1"/>
        <v>1789.8209999999999</v>
      </c>
    </row>
    <row r="42" spans="1:12" ht="30" x14ac:dyDescent="0.25">
      <c r="A42" s="13">
        <v>36</v>
      </c>
      <c r="B42" s="62" t="s">
        <v>48</v>
      </c>
      <c r="C42" s="118">
        <f t="shared" si="3"/>
        <v>0</v>
      </c>
      <c r="D42" s="80">
        <v>0</v>
      </c>
      <c r="E42" s="47">
        <v>0</v>
      </c>
      <c r="F42" s="120">
        <f t="shared" si="0"/>
        <v>0</v>
      </c>
      <c r="G42" s="48"/>
      <c r="H42" s="48"/>
      <c r="I42" s="48"/>
      <c r="J42" s="76">
        <v>528.22109999999998</v>
      </c>
      <c r="K42" s="64">
        <v>0</v>
      </c>
      <c r="L42" s="122">
        <f t="shared" si="1"/>
        <v>528.22109999999998</v>
      </c>
    </row>
    <row r="43" spans="1:12" ht="30" x14ac:dyDescent="0.25">
      <c r="A43" s="13">
        <v>37</v>
      </c>
      <c r="B43" s="62" t="s">
        <v>49</v>
      </c>
      <c r="C43" s="118">
        <f t="shared" si="3"/>
        <v>3500</v>
      </c>
      <c r="D43" s="80">
        <v>3500</v>
      </c>
      <c r="E43" s="47">
        <v>0</v>
      </c>
      <c r="F43" s="120">
        <f t="shared" si="0"/>
        <v>0</v>
      </c>
      <c r="G43" s="48"/>
      <c r="H43" s="48"/>
      <c r="I43" s="48"/>
      <c r="J43" s="76">
        <v>3275.6010000000001</v>
      </c>
      <c r="K43" s="64">
        <v>0</v>
      </c>
      <c r="L43" s="122">
        <f t="shared" si="1"/>
        <v>3275.6010000000001</v>
      </c>
    </row>
    <row r="44" spans="1:12" ht="30" x14ac:dyDescent="0.25">
      <c r="A44" s="13">
        <v>38</v>
      </c>
      <c r="B44" s="62" t="s">
        <v>50</v>
      </c>
      <c r="C44" s="118">
        <f t="shared" si="3"/>
        <v>7840.1</v>
      </c>
      <c r="D44" s="80">
        <v>7840.1</v>
      </c>
      <c r="E44" s="47">
        <v>0</v>
      </c>
      <c r="F44" s="120">
        <f t="shared" si="0"/>
        <v>0</v>
      </c>
      <c r="G44" s="48"/>
      <c r="H44" s="48"/>
      <c r="I44" s="48"/>
      <c r="J44" s="76">
        <v>3197.8670000000002</v>
      </c>
      <c r="K44" s="64">
        <v>0</v>
      </c>
      <c r="L44" s="122">
        <f t="shared" si="1"/>
        <v>3197.8670000000002</v>
      </c>
    </row>
    <row r="45" spans="1:12" ht="30" x14ac:dyDescent="0.25">
      <c r="A45" s="13">
        <v>39</v>
      </c>
      <c r="B45" s="62" t="s">
        <v>51</v>
      </c>
      <c r="C45" s="118">
        <f t="shared" si="3"/>
        <v>2950.4</v>
      </c>
      <c r="D45" s="80">
        <v>2950.4</v>
      </c>
      <c r="E45" s="47">
        <v>0</v>
      </c>
      <c r="F45" s="120">
        <f t="shared" si="0"/>
        <v>0</v>
      </c>
      <c r="G45" s="48"/>
      <c r="H45" s="48"/>
      <c r="I45" s="48"/>
      <c r="J45" s="76">
        <v>1270.3420000000001</v>
      </c>
      <c r="K45" s="64">
        <v>0</v>
      </c>
      <c r="L45" s="122">
        <f t="shared" si="1"/>
        <v>1270.3420000000001</v>
      </c>
    </row>
    <row r="46" spans="1:12" ht="30" x14ac:dyDescent="0.25">
      <c r="A46" s="13">
        <v>40</v>
      </c>
      <c r="B46" s="62" t="s">
        <v>52</v>
      </c>
      <c r="C46" s="118">
        <f t="shared" si="3"/>
        <v>0</v>
      </c>
      <c r="D46" s="80">
        <v>0</v>
      </c>
      <c r="E46" s="47">
        <v>0</v>
      </c>
      <c r="F46" s="120">
        <f t="shared" si="0"/>
        <v>0</v>
      </c>
      <c r="G46" s="48"/>
      <c r="H46" s="48"/>
      <c r="I46" s="48"/>
      <c r="J46" s="76">
        <v>994</v>
      </c>
      <c r="K46" s="64">
        <v>0</v>
      </c>
      <c r="L46" s="122">
        <f t="shared" si="1"/>
        <v>994</v>
      </c>
    </row>
    <row r="47" spans="1:12" ht="30" x14ac:dyDescent="0.25">
      <c r="A47" s="13">
        <v>41</v>
      </c>
      <c r="B47" s="62" t="s">
        <v>53</v>
      </c>
      <c r="C47" s="118">
        <f t="shared" si="3"/>
        <v>0</v>
      </c>
      <c r="D47" s="80">
        <v>0</v>
      </c>
      <c r="E47" s="47">
        <v>0</v>
      </c>
      <c r="F47" s="120">
        <f t="shared" si="0"/>
        <v>0</v>
      </c>
      <c r="G47" s="48"/>
      <c r="H47" s="48"/>
      <c r="I47" s="48"/>
      <c r="J47" s="76">
        <v>15797.663</v>
      </c>
      <c r="K47" s="64">
        <v>0</v>
      </c>
      <c r="L47" s="122">
        <f t="shared" si="1"/>
        <v>15797.663</v>
      </c>
    </row>
    <row r="48" spans="1:12" ht="30" x14ac:dyDescent="0.25">
      <c r="A48" s="13">
        <v>42</v>
      </c>
      <c r="B48" s="62" t="s">
        <v>54</v>
      </c>
      <c r="C48" s="118">
        <f t="shared" si="3"/>
        <v>4272.7054500000004</v>
      </c>
      <c r="D48" s="80">
        <v>4272.7054500000004</v>
      </c>
      <c r="E48" s="47">
        <v>0</v>
      </c>
      <c r="F48" s="120">
        <f t="shared" si="0"/>
        <v>0</v>
      </c>
      <c r="G48" s="48"/>
      <c r="H48" s="48"/>
      <c r="I48" s="48"/>
      <c r="J48" s="76">
        <v>3642.8910000000001</v>
      </c>
      <c r="K48" s="64">
        <v>0</v>
      </c>
      <c r="L48" s="122">
        <f t="shared" si="1"/>
        <v>3642.8910000000001</v>
      </c>
    </row>
    <row r="49" spans="1:12" ht="30" x14ac:dyDescent="0.25">
      <c r="A49" s="13">
        <v>43</v>
      </c>
      <c r="B49" s="62" t="s">
        <v>55</v>
      </c>
      <c r="C49" s="118">
        <f t="shared" si="3"/>
        <v>8908.1818199999998</v>
      </c>
      <c r="D49" s="80">
        <v>8908.1818199999998</v>
      </c>
      <c r="E49" s="47">
        <v>0</v>
      </c>
      <c r="F49" s="120">
        <f t="shared" si="0"/>
        <v>0</v>
      </c>
      <c r="G49" s="48"/>
      <c r="H49" s="48"/>
      <c r="I49" s="48"/>
      <c r="J49" s="76">
        <v>1693.3530000000001</v>
      </c>
      <c r="K49" s="64">
        <v>0</v>
      </c>
      <c r="L49" s="122">
        <f t="shared" si="1"/>
        <v>1693.3530000000001</v>
      </c>
    </row>
    <row r="50" spans="1:12" ht="30" x14ac:dyDescent="0.25">
      <c r="A50" s="13">
        <v>44</v>
      </c>
      <c r="B50" s="62" t="s">
        <v>56</v>
      </c>
      <c r="C50" s="118">
        <f t="shared" si="3"/>
        <v>0</v>
      </c>
      <c r="D50" s="80">
        <v>0</v>
      </c>
      <c r="E50" s="47">
        <v>0</v>
      </c>
      <c r="F50" s="120">
        <f t="shared" si="0"/>
        <v>0</v>
      </c>
      <c r="G50" s="48"/>
      <c r="H50" s="48"/>
      <c r="I50" s="48"/>
      <c r="J50" s="76">
        <v>898.57</v>
      </c>
      <c r="K50" s="64">
        <v>0</v>
      </c>
      <c r="L50" s="122">
        <f t="shared" si="1"/>
        <v>898.57</v>
      </c>
    </row>
    <row r="51" spans="1:12" ht="30" x14ac:dyDescent="0.25">
      <c r="A51" s="13">
        <v>45</v>
      </c>
      <c r="B51" s="62" t="s">
        <v>57</v>
      </c>
      <c r="C51" s="118">
        <f t="shared" si="3"/>
        <v>0</v>
      </c>
      <c r="D51" s="80">
        <v>0</v>
      </c>
      <c r="E51" s="47">
        <v>0</v>
      </c>
      <c r="F51" s="120">
        <f t="shared" si="0"/>
        <v>0</v>
      </c>
      <c r="G51" s="48"/>
      <c r="H51" s="48"/>
      <c r="I51" s="48"/>
      <c r="J51" s="76">
        <v>1734.848</v>
      </c>
      <c r="K51" s="64">
        <v>0</v>
      </c>
      <c r="L51" s="122">
        <f t="shared" si="1"/>
        <v>1734.848</v>
      </c>
    </row>
    <row r="52" spans="1:12" ht="30" x14ac:dyDescent="0.25">
      <c r="A52" s="13">
        <v>46</v>
      </c>
      <c r="B52" s="62" t="s">
        <v>58</v>
      </c>
      <c r="C52" s="118">
        <f t="shared" si="3"/>
        <v>1026.31322</v>
      </c>
      <c r="D52" s="80">
        <v>1026.31322</v>
      </c>
      <c r="E52" s="47">
        <v>0</v>
      </c>
      <c r="F52" s="120">
        <f t="shared" si="0"/>
        <v>0</v>
      </c>
      <c r="G52" s="48"/>
      <c r="H52" s="48"/>
      <c r="I52" s="48"/>
      <c r="J52" s="76">
        <v>1551.116</v>
      </c>
      <c r="K52" s="64">
        <v>0</v>
      </c>
      <c r="L52" s="122">
        <f t="shared" si="1"/>
        <v>1551.116</v>
      </c>
    </row>
    <row r="53" spans="1:12" ht="30" x14ac:dyDescent="0.25">
      <c r="A53" s="13">
        <v>47</v>
      </c>
      <c r="B53" s="62" t="s">
        <v>59</v>
      </c>
      <c r="C53" s="118">
        <f t="shared" si="3"/>
        <v>1413.2398700000001</v>
      </c>
      <c r="D53" s="80">
        <v>1413.2398700000001</v>
      </c>
      <c r="E53" s="47">
        <v>0</v>
      </c>
      <c r="F53" s="120">
        <f t="shared" si="0"/>
        <v>0</v>
      </c>
      <c r="G53" s="48"/>
      <c r="H53" s="48"/>
      <c r="I53" s="48"/>
      <c r="J53" s="76">
        <v>820.85580000000004</v>
      </c>
      <c r="K53" s="64">
        <v>0</v>
      </c>
      <c r="L53" s="122">
        <f t="shared" si="1"/>
        <v>820.85580000000004</v>
      </c>
    </row>
    <row r="54" spans="1:12" ht="30" x14ac:dyDescent="0.25">
      <c r="A54" s="13">
        <v>48</v>
      </c>
      <c r="B54" s="62" t="s">
        <v>60</v>
      </c>
      <c r="C54" s="118">
        <f t="shared" si="3"/>
        <v>7218</v>
      </c>
      <c r="D54" s="80">
        <v>7218</v>
      </c>
      <c r="E54" s="47">
        <v>0</v>
      </c>
      <c r="F54" s="120">
        <f t="shared" si="0"/>
        <v>0</v>
      </c>
      <c r="G54" s="48"/>
      <c r="H54" s="48"/>
      <c r="I54" s="48"/>
      <c r="J54" s="76">
        <v>1027.2159999999999</v>
      </c>
      <c r="K54" s="64">
        <v>0</v>
      </c>
      <c r="L54" s="122">
        <f t="shared" si="1"/>
        <v>1027.2159999999999</v>
      </c>
    </row>
    <row r="55" spans="1:12" ht="30" x14ac:dyDescent="0.25">
      <c r="A55" s="13">
        <v>49</v>
      </c>
      <c r="B55" s="62" t="s">
        <v>61</v>
      </c>
      <c r="C55" s="118">
        <f t="shared" si="3"/>
        <v>0</v>
      </c>
      <c r="D55" s="80">
        <v>0</v>
      </c>
      <c r="E55" s="47">
        <v>0</v>
      </c>
      <c r="F55" s="120">
        <f t="shared" si="0"/>
        <v>0</v>
      </c>
      <c r="G55" s="48"/>
      <c r="H55" s="48"/>
      <c r="I55" s="48"/>
      <c r="J55" s="76">
        <v>145.97020000000001</v>
      </c>
      <c r="K55" s="64">
        <v>0</v>
      </c>
      <c r="L55" s="122">
        <f t="shared" si="1"/>
        <v>145.97020000000001</v>
      </c>
    </row>
    <row r="56" spans="1:12" ht="30" x14ac:dyDescent="0.25">
      <c r="A56" s="13">
        <v>50</v>
      </c>
      <c r="B56" s="62" t="s">
        <v>62</v>
      </c>
      <c r="C56" s="118">
        <f t="shared" si="3"/>
        <v>0</v>
      </c>
      <c r="D56" s="80">
        <v>0</v>
      </c>
      <c r="E56" s="47">
        <v>0</v>
      </c>
      <c r="F56" s="120">
        <f t="shared" si="0"/>
        <v>0</v>
      </c>
      <c r="G56" s="48"/>
      <c r="H56" s="48"/>
      <c r="I56" s="48"/>
      <c r="J56" s="76">
        <v>1416.4390000000001</v>
      </c>
      <c r="K56" s="64">
        <v>0</v>
      </c>
      <c r="L56" s="122">
        <f t="shared" si="1"/>
        <v>1416.4390000000001</v>
      </c>
    </row>
    <row r="57" spans="1:12" ht="30" x14ac:dyDescent="0.25">
      <c r="A57" s="13">
        <v>51</v>
      </c>
      <c r="B57" s="62" t="s">
        <v>63</v>
      </c>
      <c r="C57" s="118">
        <f t="shared" si="3"/>
        <v>7024.8</v>
      </c>
      <c r="D57" s="80">
        <v>7024.8</v>
      </c>
      <c r="E57" s="47">
        <v>0</v>
      </c>
      <c r="F57" s="120">
        <f t="shared" si="0"/>
        <v>0</v>
      </c>
      <c r="G57" s="48"/>
      <c r="H57" s="48"/>
      <c r="I57" s="48"/>
      <c r="J57" s="76">
        <v>134.19970000000001</v>
      </c>
      <c r="K57" s="64">
        <v>0</v>
      </c>
      <c r="L57" s="122">
        <f t="shared" si="1"/>
        <v>134.19970000000001</v>
      </c>
    </row>
    <row r="58" spans="1:12" ht="30" x14ac:dyDescent="0.25">
      <c r="A58" s="13">
        <v>52</v>
      </c>
      <c r="B58" s="62" t="s">
        <v>64</v>
      </c>
      <c r="C58" s="118">
        <f t="shared" si="3"/>
        <v>0</v>
      </c>
      <c r="D58" s="80">
        <v>0</v>
      </c>
      <c r="E58" s="47">
        <v>0</v>
      </c>
      <c r="F58" s="120">
        <f t="shared" si="0"/>
        <v>0</v>
      </c>
      <c r="G58" s="48"/>
      <c r="H58" s="48"/>
      <c r="I58" s="48"/>
      <c r="J58" s="76">
        <v>784.06209999999999</v>
      </c>
      <c r="K58" s="64">
        <v>0</v>
      </c>
      <c r="L58" s="122">
        <f t="shared" si="1"/>
        <v>784.06209999999999</v>
      </c>
    </row>
    <row r="59" spans="1:12" ht="30" x14ac:dyDescent="0.25">
      <c r="A59" s="13">
        <v>53</v>
      </c>
      <c r="B59" s="62" t="s">
        <v>65</v>
      </c>
      <c r="C59" s="118">
        <f t="shared" si="3"/>
        <v>0</v>
      </c>
      <c r="D59" s="80">
        <v>0</v>
      </c>
      <c r="E59" s="47">
        <v>0</v>
      </c>
      <c r="F59" s="120">
        <f t="shared" si="0"/>
        <v>0</v>
      </c>
      <c r="G59" s="48"/>
      <c r="H59" s="48"/>
      <c r="I59" s="48"/>
      <c r="J59" s="76">
        <v>1179.249</v>
      </c>
      <c r="K59" s="64">
        <v>0</v>
      </c>
      <c r="L59" s="122">
        <f t="shared" si="1"/>
        <v>1179.249</v>
      </c>
    </row>
    <row r="60" spans="1:12" ht="30" x14ac:dyDescent="0.25">
      <c r="A60" s="13">
        <v>54</v>
      </c>
      <c r="B60" s="62" t="s">
        <v>66</v>
      </c>
      <c r="C60" s="118">
        <f t="shared" si="3"/>
        <v>3031.5840199999998</v>
      </c>
      <c r="D60" s="80">
        <v>3031.5840199999998</v>
      </c>
      <c r="E60" s="47">
        <v>0</v>
      </c>
      <c r="F60" s="120">
        <f t="shared" si="0"/>
        <v>0</v>
      </c>
      <c r="G60" s="48"/>
      <c r="H60" s="48"/>
      <c r="I60" s="48"/>
      <c r="J60" s="76">
        <v>2727.6210000000001</v>
      </c>
      <c r="K60" s="64">
        <v>0</v>
      </c>
      <c r="L60" s="122">
        <f t="shared" si="1"/>
        <v>2727.6210000000001</v>
      </c>
    </row>
    <row r="61" spans="1:12" ht="30" x14ac:dyDescent="0.25">
      <c r="A61" s="13">
        <v>55</v>
      </c>
      <c r="B61" s="62" t="s">
        <v>67</v>
      </c>
      <c r="C61" s="118">
        <f t="shared" si="3"/>
        <v>0</v>
      </c>
      <c r="D61" s="80">
        <v>0</v>
      </c>
      <c r="E61" s="47">
        <v>0</v>
      </c>
      <c r="F61" s="120">
        <f t="shared" si="0"/>
        <v>0</v>
      </c>
      <c r="G61" s="48"/>
      <c r="H61" s="48"/>
      <c r="I61" s="48"/>
      <c r="J61" s="76">
        <v>1879.9280000000001</v>
      </c>
      <c r="K61" s="64">
        <v>0</v>
      </c>
      <c r="L61" s="122">
        <f t="shared" si="1"/>
        <v>1879.9280000000001</v>
      </c>
    </row>
    <row r="62" spans="1:12" ht="30" x14ac:dyDescent="0.25">
      <c r="A62" s="13">
        <v>56</v>
      </c>
      <c r="B62" s="62" t="s">
        <v>68</v>
      </c>
      <c r="C62" s="118">
        <f t="shared" si="3"/>
        <v>0</v>
      </c>
      <c r="D62" s="80">
        <v>0</v>
      </c>
      <c r="E62" s="47">
        <v>0</v>
      </c>
      <c r="F62" s="120">
        <f t="shared" si="0"/>
        <v>0</v>
      </c>
      <c r="G62" s="48"/>
      <c r="H62" s="48"/>
      <c r="I62" s="48"/>
      <c r="J62" s="76">
        <v>174.95259999999999</v>
      </c>
      <c r="K62" s="64">
        <v>0</v>
      </c>
      <c r="L62" s="122">
        <f t="shared" si="1"/>
        <v>174.95259999999999</v>
      </c>
    </row>
    <row r="63" spans="1:12" ht="30" x14ac:dyDescent="0.25">
      <c r="A63" s="13">
        <v>57</v>
      </c>
      <c r="B63" s="62" t="s">
        <v>69</v>
      </c>
      <c r="C63" s="118">
        <f t="shared" si="3"/>
        <v>5420.7595199999996</v>
      </c>
      <c r="D63" s="80">
        <v>5420.7595199999996</v>
      </c>
      <c r="E63" s="47">
        <v>0</v>
      </c>
      <c r="F63" s="120">
        <f t="shared" si="0"/>
        <v>0</v>
      </c>
      <c r="G63" s="48"/>
      <c r="H63" s="48"/>
      <c r="I63" s="48"/>
      <c r="J63" s="76">
        <v>1392.2639999999999</v>
      </c>
      <c r="K63" s="64">
        <v>20.79355</v>
      </c>
      <c r="L63" s="122">
        <f t="shared" si="1"/>
        <v>1413.05755</v>
      </c>
    </row>
    <row r="64" spans="1:12" x14ac:dyDescent="0.25">
      <c r="A64" s="13">
        <v>58</v>
      </c>
      <c r="B64" s="62" t="s">
        <v>70</v>
      </c>
      <c r="C64" s="118">
        <f t="shared" si="3"/>
        <v>0</v>
      </c>
      <c r="D64" s="80">
        <v>0</v>
      </c>
      <c r="E64" s="47">
        <v>0</v>
      </c>
      <c r="F64" s="120">
        <f t="shared" si="0"/>
        <v>0</v>
      </c>
      <c r="G64" s="48"/>
      <c r="H64" s="48"/>
      <c r="I64" s="48"/>
      <c r="J64" s="76">
        <v>29.310870000000001</v>
      </c>
      <c r="K64" s="64">
        <v>0</v>
      </c>
      <c r="L64" s="122">
        <f t="shared" si="1"/>
        <v>29.310870000000001</v>
      </c>
    </row>
    <row r="65" spans="1:12" x14ac:dyDescent="0.25">
      <c r="A65" s="13">
        <v>59</v>
      </c>
      <c r="B65" s="62" t="s">
        <v>71</v>
      </c>
      <c r="C65" s="118">
        <f t="shared" si="3"/>
        <v>0</v>
      </c>
      <c r="D65" s="80">
        <v>0</v>
      </c>
      <c r="E65" s="47">
        <v>0</v>
      </c>
      <c r="F65" s="120">
        <f t="shared" si="0"/>
        <v>0</v>
      </c>
      <c r="G65" s="48"/>
      <c r="H65" s="48"/>
      <c r="I65" s="48"/>
      <c r="J65" s="76">
        <v>0</v>
      </c>
      <c r="K65" s="64">
        <v>12.507949999999999</v>
      </c>
      <c r="L65" s="122">
        <f t="shared" si="1"/>
        <v>12.507949999999999</v>
      </c>
    </row>
    <row r="66" spans="1:12" x14ac:dyDescent="0.25">
      <c r="A66" s="13">
        <v>60</v>
      </c>
      <c r="B66" s="62" t="s">
        <v>72</v>
      </c>
      <c r="C66" s="118">
        <f t="shared" si="3"/>
        <v>0</v>
      </c>
      <c r="D66" s="80">
        <v>0</v>
      </c>
      <c r="E66" s="47">
        <v>0</v>
      </c>
      <c r="F66" s="120">
        <f t="shared" si="0"/>
        <v>0</v>
      </c>
      <c r="G66" s="48"/>
      <c r="H66" s="48"/>
      <c r="I66" s="48"/>
      <c r="J66" s="76">
        <v>0</v>
      </c>
      <c r="K66" s="64">
        <v>0</v>
      </c>
      <c r="L66" s="122">
        <f t="shared" si="1"/>
        <v>0</v>
      </c>
    </row>
    <row r="67" spans="1:12" x14ac:dyDescent="0.25">
      <c r="A67" s="13">
        <v>61</v>
      </c>
      <c r="B67" s="62" t="s">
        <v>73</v>
      </c>
      <c r="C67" s="118">
        <f t="shared" si="3"/>
        <v>0</v>
      </c>
      <c r="D67" s="80">
        <v>0</v>
      </c>
      <c r="E67" s="47">
        <v>0</v>
      </c>
      <c r="F67" s="120">
        <f t="shared" si="0"/>
        <v>0</v>
      </c>
      <c r="G67" s="48"/>
      <c r="H67" s="48"/>
      <c r="I67" s="48"/>
      <c r="J67" s="76">
        <v>0</v>
      </c>
      <c r="K67" s="64">
        <v>0</v>
      </c>
      <c r="L67" s="122">
        <f t="shared" si="1"/>
        <v>0</v>
      </c>
    </row>
    <row r="68" spans="1:12" x14ac:dyDescent="0.25">
      <c r="A68" s="13">
        <v>62</v>
      </c>
      <c r="B68" s="62" t="s">
        <v>74</v>
      </c>
      <c r="C68" s="118">
        <f t="shared" si="3"/>
        <v>0</v>
      </c>
      <c r="D68" s="80">
        <v>0</v>
      </c>
      <c r="E68" s="47">
        <v>0</v>
      </c>
      <c r="F68" s="120">
        <f t="shared" si="0"/>
        <v>0</v>
      </c>
      <c r="G68" s="48"/>
      <c r="H68" s="48"/>
      <c r="I68" s="48"/>
      <c r="J68" s="76">
        <v>0</v>
      </c>
      <c r="K68" s="64">
        <v>0</v>
      </c>
      <c r="L68" s="122">
        <f t="shared" si="1"/>
        <v>0</v>
      </c>
    </row>
    <row r="69" spans="1:12" ht="30" x14ac:dyDescent="0.25">
      <c r="A69" s="13">
        <v>63</v>
      </c>
      <c r="B69" s="62" t="s">
        <v>75</v>
      </c>
      <c r="C69" s="118">
        <f t="shared" si="3"/>
        <v>0</v>
      </c>
      <c r="D69" s="80">
        <v>0</v>
      </c>
      <c r="E69" s="47">
        <v>0</v>
      </c>
      <c r="F69" s="120">
        <f t="shared" si="0"/>
        <v>0</v>
      </c>
      <c r="G69" s="48"/>
      <c r="H69" s="48"/>
      <c r="I69" s="48"/>
      <c r="J69" s="76">
        <v>0</v>
      </c>
      <c r="K69" s="64">
        <v>0</v>
      </c>
      <c r="L69" s="122">
        <f t="shared" si="1"/>
        <v>0</v>
      </c>
    </row>
    <row r="70" spans="1:12" x14ac:dyDescent="0.25">
      <c r="A70" s="13">
        <v>64</v>
      </c>
      <c r="B70" s="62" t="s">
        <v>76</v>
      </c>
      <c r="C70" s="118">
        <f t="shared" si="3"/>
        <v>1422.87096</v>
      </c>
      <c r="D70" s="80">
        <v>1422.87096</v>
      </c>
      <c r="E70" s="47">
        <v>0</v>
      </c>
      <c r="F70" s="120">
        <f t="shared" si="0"/>
        <v>0</v>
      </c>
      <c r="G70" s="48"/>
      <c r="H70" s="48"/>
      <c r="I70" s="48"/>
      <c r="J70" s="76">
        <v>569.57420000000002</v>
      </c>
      <c r="K70" s="64">
        <v>0</v>
      </c>
      <c r="L70" s="122">
        <f t="shared" si="1"/>
        <v>569.57420000000002</v>
      </c>
    </row>
    <row r="71" spans="1:12" ht="30" x14ac:dyDescent="0.25">
      <c r="A71" s="13">
        <v>65</v>
      </c>
      <c r="B71" s="62" t="s">
        <v>77</v>
      </c>
      <c r="C71" s="118">
        <f t="shared" ref="C71:C72" si="4">SUM(D71:E71)</f>
        <v>0</v>
      </c>
      <c r="D71" s="80">
        <v>0</v>
      </c>
      <c r="E71" s="47">
        <v>0</v>
      </c>
      <c r="F71" s="120">
        <f t="shared" ref="F71:F72" si="5">SUM(G71:I71)</f>
        <v>0</v>
      </c>
      <c r="G71" s="48"/>
      <c r="H71" s="48"/>
      <c r="I71" s="48"/>
      <c r="J71" s="76">
        <v>0</v>
      </c>
      <c r="K71" s="64">
        <v>0</v>
      </c>
      <c r="L71" s="122">
        <f t="shared" ref="L71:L78" si="6">SUM(J71:K71)</f>
        <v>0</v>
      </c>
    </row>
    <row r="72" spans="1:12" x14ac:dyDescent="0.25">
      <c r="A72" s="13">
        <v>66</v>
      </c>
      <c r="B72" s="62" t="s">
        <v>78</v>
      </c>
      <c r="C72" s="118">
        <f t="shared" si="4"/>
        <v>0</v>
      </c>
      <c r="D72" s="80">
        <v>0</v>
      </c>
      <c r="E72" s="47">
        <v>0</v>
      </c>
      <c r="F72" s="120">
        <f t="shared" si="5"/>
        <v>0</v>
      </c>
      <c r="G72" s="48"/>
      <c r="H72" s="48"/>
      <c r="I72" s="48"/>
      <c r="J72" s="76">
        <v>0</v>
      </c>
      <c r="K72" s="64">
        <v>0</v>
      </c>
      <c r="L72" s="122">
        <f t="shared" si="6"/>
        <v>0</v>
      </c>
    </row>
    <row r="73" spans="1:12" s="10" customFormat="1" ht="60" x14ac:dyDescent="0.2">
      <c r="A73" s="13">
        <v>67</v>
      </c>
      <c r="B73" s="62" t="s">
        <v>149</v>
      </c>
      <c r="C73" s="76">
        <f>SUM(D73:E73)</f>
        <v>0</v>
      </c>
      <c r="D73" s="126">
        <v>0</v>
      </c>
      <c r="E73" s="126">
        <v>0</v>
      </c>
      <c r="F73" s="127">
        <f t="shared" ref="F73:F78" si="7">SUM(G73:I73)</f>
        <v>0</v>
      </c>
      <c r="G73" s="128">
        <v>0</v>
      </c>
      <c r="H73" s="128">
        <v>0</v>
      </c>
      <c r="I73" s="128">
        <v>0</v>
      </c>
      <c r="J73" s="129">
        <v>88</v>
      </c>
      <c r="K73" s="64">
        <v>0</v>
      </c>
      <c r="L73" s="122">
        <f t="shared" si="6"/>
        <v>88</v>
      </c>
    </row>
    <row r="74" spans="1:12" ht="60" x14ac:dyDescent="0.25">
      <c r="A74" s="13">
        <v>68</v>
      </c>
      <c r="B74" s="62" t="s">
        <v>144</v>
      </c>
      <c r="C74" s="78">
        <f>SUM(D74:E74)</f>
        <v>0</v>
      </c>
      <c r="D74" s="130">
        <v>0</v>
      </c>
      <c r="E74" s="130">
        <v>0</v>
      </c>
      <c r="F74" s="131">
        <f t="shared" si="7"/>
        <v>491</v>
      </c>
      <c r="G74" s="130">
        <v>0</v>
      </c>
      <c r="H74" s="131">
        <v>491</v>
      </c>
      <c r="I74" s="132">
        <v>0</v>
      </c>
      <c r="J74" s="131">
        <v>292.22000000000003</v>
      </c>
      <c r="K74" s="133">
        <v>0</v>
      </c>
      <c r="L74" s="122">
        <f t="shared" si="6"/>
        <v>292.22000000000003</v>
      </c>
    </row>
    <row r="75" spans="1:12" ht="75" x14ac:dyDescent="0.25">
      <c r="A75" s="13">
        <v>69</v>
      </c>
      <c r="B75" s="62" t="s">
        <v>145</v>
      </c>
      <c r="C75" s="76">
        <f>SUM(D75:E75)</f>
        <v>0</v>
      </c>
      <c r="D75" s="126">
        <v>0</v>
      </c>
      <c r="E75" s="126">
        <v>0</v>
      </c>
      <c r="F75" s="131">
        <f t="shared" si="7"/>
        <v>538</v>
      </c>
      <c r="G75" s="128">
        <v>0</v>
      </c>
      <c r="H75" s="131">
        <v>538</v>
      </c>
      <c r="I75" s="128">
        <v>0</v>
      </c>
      <c r="J75" s="129">
        <v>373.07</v>
      </c>
      <c r="K75" s="129">
        <v>32.164879999999997</v>
      </c>
      <c r="L75" s="122">
        <f t="shared" si="6"/>
        <v>405.23487999999998</v>
      </c>
    </row>
    <row r="76" spans="1:12" ht="60" x14ac:dyDescent="0.25">
      <c r="A76" s="13">
        <v>70</v>
      </c>
      <c r="B76" s="62" t="s">
        <v>146</v>
      </c>
      <c r="C76" s="76">
        <f>SUM(D76:E76)</f>
        <v>0</v>
      </c>
      <c r="D76" s="126">
        <v>0</v>
      </c>
      <c r="E76" s="126">
        <v>0</v>
      </c>
      <c r="F76" s="131">
        <f>H76</f>
        <v>546.9375</v>
      </c>
      <c r="G76" s="132">
        <v>0</v>
      </c>
      <c r="H76" s="131">
        <v>546.9375</v>
      </c>
      <c r="I76" s="128"/>
      <c r="J76" s="129">
        <v>142</v>
      </c>
      <c r="K76" s="129">
        <v>1.8066</v>
      </c>
      <c r="L76" s="122">
        <f t="shared" si="6"/>
        <v>143.8066</v>
      </c>
    </row>
    <row r="77" spans="1:12" ht="60" x14ac:dyDescent="0.25">
      <c r="A77" s="13">
        <v>71</v>
      </c>
      <c r="B77" s="62" t="s">
        <v>147</v>
      </c>
      <c r="C77" s="78">
        <f>SUM(D77:E77)</f>
        <v>0</v>
      </c>
      <c r="D77" s="130">
        <v>0</v>
      </c>
      <c r="E77" s="130">
        <v>0</v>
      </c>
      <c r="F77" s="131">
        <f t="shared" si="7"/>
        <v>400</v>
      </c>
      <c r="G77" s="132">
        <v>0</v>
      </c>
      <c r="H77" s="134">
        <v>400</v>
      </c>
      <c r="I77" s="132">
        <v>0</v>
      </c>
      <c r="J77" s="131">
        <v>232</v>
      </c>
      <c r="K77" s="133">
        <v>0</v>
      </c>
      <c r="L77" s="122">
        <f t="shared" si="6"/>
        <v>232</v>
      </c>
    </row>
    <row r="78" spans="1:12" x14ac:dyDescent="0.25">
      <c r="A78" s="13">
        <v>72</v>
      </c>
      <c r="B78" s="62" t="s">
        <v>148</v>
      </c>
      <c r="C78" s="76">
        <v>0</v>
      </c>
      <c r="D78" s="76">
        <v>0</v>
      </c>
      <c r="E78" s="126">
        <v>0</v>
      </c>
      <c r="F78" s="127">
        <f t="shared" si="7"/>
        <v>0</v>
      </c>
      <c r="G78" s="128">
        <v>0</v>
      </c>
      <c r="H78" s="128">
        <v>0</v>
      </c>
      <c r="I78" s="128">
        <v>0</v>
      </c>
      <c r="J78" s="64">
        <v>0</v>
      </c>
      <c r="K78" s="80">
        <v>0</v>
      </c>
      <c r="L78" s="122">
        <f t="shared" si="6"/>
        <v>0</v>
      </c>
    </row>
    <row r="79" spans="1:12" s="87" customFormat="1" ht="14.25" x14ac:dyDescent="0.2">
      <c r="A79" s="86"/>
      <c r="B79" s="85" t="s">
        <v>130</v>
      </c>
      <c r="C79" s="122">
        <f>SUM(C7:C78)</f>
        <v>138396.49908000001</v>
      </c>
      <c r="D79" s="123">
        <f>SUM(D7:D78)</f>
        <v>138396.49807999999</v>
      </c>
      <c r="E79" s="123">
        <f t="shared" ref="E79:L79" si="8">SUM(E7:E78)</f>
        <v>0</v>
      </c>
      <c r="F79" s="122">
        <f t="shared" si="8"/>
        <v>1975.9375</v>
      </c>
      <c r="G79" s="123">
        <f t="shared" si="8"/>
        <v>0</v>
      </c>
      <c r="H79" s="123">
        <f t="shared" si="8"/>
        <v>1975.9375</v>
      </c>
      <c r="I79" s="123">
        <f t="shared" si="8"/>
        <v>0</v>
      </c>
      <c r="J79" s="124">
        <f t="shared" si="8"/>
        <v>87853.231369999994</v>
      </c>
      <c r="K79" s="123">
        <f t="shared" si="8"/>
        <v>67.27297999999999</v>
      </c>
      <c r="L79" s="122">
        <f t="shared" si="8"/>
        <v>87920.504349999988</v>
      </c>
    </row>
    <row r="80" spans="1:12" hidden="1" x14ac:dyDescent="0.25">
      <c r="F80" s="115">
        <v>1975.94</v>
      </c>
      <c r="H80" s="7">
        <v>1975.94</v>
      </c>
      <c r="J80" s="82">
        <v>1127.29</v>
      </c>
      <c r="K80" s="7">
        <v>33.97</v>
      </c>
      <c r="L80" s="115">
        <v>1161.26</v>
      </c>
    </row>
    <row r="81" spans="3:12" hidden="1" x14ac:dyDescent="0.25">
      <c r="C81" s="119">
        <f>138396.5-C79</f>
        <v>9.1999999131076038E-4</v>
      </c>
      <c r="D81" s="65">
        <f>138396.5-D79</f>
        <v>1.9200000097043812E-3</v>
      </c>
      <c r="F81" s="119">
        <f>0+F80-F79</f>
        <v>2.5000000000545697E-3</v>
      </c>
      <c r="H81" s="63">
        <f>0+H80-H79</f>
        <v>2.5000000000545697E-3</v>
      </c>
      <c r="J81" s="82">
        <f>86725.9414+J80-J79</f>
        <v>2.9999995604157448E-5</v>
      </c>
      <c r="K81" s="63">
        <f>33.3015+K80-K79</f>
        <v>-1.4799999999866031E-3</v>
      </c>
      <c r="L81" s="119">
        <f>86759.2429+L80-L79</f>
        <v>-1.4499999961117283E-3</v>
      </c>
    </row>
    <row r="82" spans="3:12" ht="13.9" x14ac:dyDescent="0.25">
      <c r="E82" s="23"/>
    </row>
  </sheetData>
  <mergeCells count="6">
    <mergeCell ref="D2:I2"/>
    <mergeCell ref="J5:L5"/>
    <mergeCell ref="A5:A6"/>
    <mergeCell ref="B5:B6"/>
    <mergeCell ref="C5:E5"/>
    <mergeCell ref="F5:I5"/>
  </mergeCells>
  <pageMargins left="0.25" right="0.25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82"/>
  <sheetViews>
    <sheetView tabSelected="1" view="pageBreakPreview" topLeftCell="A16" zoomScaleNormal="100" zoomScaleSheetLayoutView="100" workbookViewId="0">
      <selection activeCell="G85" sqref="G85"/>
    </sheetView>
  </sheetViews>
  <sheetFormatPr defaultColWidth="9.140625" defaultRowHeight="15" x14ac:dyDescent="0.25"/>
  <cols>
    <col min="1" max="1" width="4.42578125" style="7" bestFit="1" customWidth="1"/>
    <col min="2" max="2" width="43.85546875" style="15" customWidth="1"/>
    <col min="3" max="3" width="11.42578125" style="63" customWidth="1"/>
    <col min="4" max="4" width="10" style="7" customWidth="1"/>
    <col min="5" max="5" width="13.140625" style="7" customWidth="1"/>
    <col min="6" max="6" width="15.85546875" style="63" customWidth="1"/>
    <col min="7" max="7" width="19.140625" style="7" customWidth="1"/>
    <col min="8" max="8" width="16.5703125" style="7" customWidth="1"/>
    <col min="9" max="16384" width="9.140625" style="7"/>
  </cols>
  <sheetData>
    <row r="1" spans="1:8" ht="15.75" x14ac:dyDescent="0.25">
      <c r="H1" s="24" t="s">
        <v>141</v>
      </c>
    </row>
    <row r="2" spans="1:8" ht="37.5" customHeight="1" x14ac:dyDescent="0.25">
      <c r="B2" s="198" t="s">
        <v>158</v>
      </c>
      <c r="C2" s="198"/>
      <c r="D2" s="198"/>
      <c r="E2" s="198"/>
      <c r="F2" s="198"/>
      <c r="G2" s="198"/>
    </row>
    <row r="5" spans="1:8" s="2" customFormat="1" x14ac:dyDescent="0.25">
      <c r="A5" s="215" t="s">
        <v>79</v>
      </c>
      <c r="B5" s="215" t="s">
        <v>87</v>
      </c>
      <c r="C5" s="215" t="s">
        <v>123</v>
      </c>
      <c r="D5" s="215"/>
      <c r="E5" s="215"/>
      <c r="F5" s="215" t="s">
        <v>124</v>
      </c>
      <c r="G5" s="215"/>
      <c r="H5" s="215" t="s">
        <v>125</v>
      </c>
    </row>
    <row r="6" spans="1:8" s="2" customFormat="1" x14ac:dyDescent="0.25">
      <c r="A6" s="215"/>
      <c r="B6" s="215"/>
      <c r="C6" s="221" t="s">
        <v>0</v>
      </c>
      <c r="D6" s="215" t="s">
        <v>126</v>
      </c>
      <c r="E6" s="215"/>
      <c r="F6" s="221" t="s">
        <v>0</v>
      </c>
      <c r="G6" s="215" t="s">
        <v>127</v>
      </c>
      <c r="H6" s="215"/>
    </row>
    <row r="7" spans="1:8" s="2" customFormat="1" ht="34.15" customHeight="1" x14ac:dyDescent="0.25">
      <c r="A7" s="215"/>
      <c r="B7" s="215"/>
      <c r="C7" s="221"/>
      <c r="D7" s="11" t="s">
        <v>0</v>
      </c>
      <c r="E7" s="11" t="s">
        <v>128</v>
      </c>
      <c r="F7" s="221"/>
      <c r="G7" s="215"/>
      <c r="H7" s="215"/>
    </row>
    <row r="8" spans="1:8" ht="30" x14ac:dyDescent="0.25">
      <c r="A8" s="13">
        <v>1</v>
      </c>
      <c r="B8" s="62" t="s">
        <v>14</v>
      </c>
      <c r="C8" s="83">
        <v>81.555000000000007</v>
      </c>
      <c r="D8" s="83">
        <v>0</v>
      </c>
      <c r="E8" s="83">
        <v>0</v>
      </c>
      <c r="F8" s="83">
        <f>0</f>
        <v>0</v>
      </c>
      <c r="G8" s="83">
        <v>0</v>
      </c>
      <c r="H8" s="83">
        <v>0</v>
      </c>
    </row>
    <row r="9" spans="1:8" ht="30" x14ac:dyDescent="0.25">
      <c r="A9" s="13">
        <v>2</v>
      </c>
      <c r="B9" s="62" t="s">
        <v>15</v>
      </c>
      <c r="C9" s="83">
        <v>1.0402400000000001</v>
      </c>
      <c r="D9" s="83">
        <v>0</v>
      </c>
      <c r="E9" s="83">
        <v>0</v>
      </c>
      <c r="F9" s="83">
        <v>88.778819999999996</v>
      </c>
      <c r="G9" s="83">
        <v>0</v>
      </c>
      <c r="H9" s="83">
        <v>0</v>
      </c>
    </row>
    <row r="10" spans="1:8" ht="30" x14ac:dyDescent="0.25">
      <c r="A10" s="13">
        <v>3</v>
      </c>
      <c r="B10" s="62" t="s">
        <v>16</v>
      </c>
      <c r="C10" s="83">
        <v>7.1699000000000002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</row>
    <row r="11" spans="1:8" ht="30" x14ac:dyDescent="0.25">
      <c r="A11" s="13">
        <v>4</v>
      </c>
      <c r="B11" s="62" t="s">
        <v>17</v>
      </c>
      <c r="C11" s="83">
        <v>0</v>
      </c>
      <c r="D11" s="83">
        <v>0</v>
      </c>
      <c r="E11" s="83">
        <v>0</v>
      </c>
      <c r="F11" s="83">
        <v>35.116</v>
      </c>
      <c r="G11" s="83">
        <v>0</v>
      </c>
      <c r="H11" s="83">
        <v>0</v>
      </c>
    </row>
    <row r="12" spans="1:8" ht="30" x14ac:dyDescent="0.25">
      <c r="A12" s="13">
        <v>5</v>
      </c>
      <c r="B12" s="62" t="s">
        <v>18</v>
      </c>
      <c r="C12" s="83">
        <v>265.63762000000003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</row>
    <row r="13" spans="1:8" ht="30" x14ac:dyDescent="0.25">
      <c r="A13" s="13">
        <v>6</v>
      </c>
      <c r="B13" s="62" t="s">
        <v>19</v>
      </c>
      <c r="C13" s="83">
        <v>214.12723</v>
      </c>
      <c r="D13" s="83">
        <v>0</v>
      </c>
      <c r="E13" s="83">
        <v>0</v>
      </c>
      <c r="F13" s="83">
        <v>55.171880000000002</v>
      </c>
      <c r="G13" s="83">
        <v>0</v>
      </c>
      <c r="H13" s="83">
        <v>0</v>
      </c>
    </row>
    <row r="14" spans="1:8" x14ac:dyDescent="0.25">
      <c r="A14" s="13">
        <v>7</v>
      </c>
      <c r="B14" s="62" t="s">
        <v>20</v>
      </c>
      <c r="C14" s="83">
        <v>0</v>
      </c>
      <c r="D14" s="83">
        <v>0</v>
      </c>
      <c r="E14" s="83">
        <v>0</v>
      </c>
      <c r="F14" s="83">
        <v>184.64418000000001</v>
      </c>
      <c r="G14" s="83">
        <v>0</v>
      </c>
      <c r="H14" s="83">
        <v>0</v>
      </c>
    </row>
    <row r="15" spans="1:8" x14ac:dyDescent="0.25">
      <c r="A15" s="13">
        <v>8</v>
      </c>
      <c r="B15" s="62" t="s">
        <v>21</v>
      </c>
      <c r="C15" s="83">
        <v>31.395320000000002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</row>
    <row r="16" spans="1:8" ht="30" x14ac:dyDescent="0.25">
      <c r="A16" s="13">
        <v>9</v>
      </c>
      <c r="B16" s="62" t="s">
        <v>22</v>
      </c>
      <c r="C16" s="83">
        <v>48.110509999999998</v>
      </c>
      <c r="D16" s="83">
        <v>0</v>
      </c>
      <c r="E16" s="83">
        <v>0</v>
      </c>
      <c r="F16" s="83">
        <v>1.35039</v>
      </c>
      <c r="G16" s="83">
        <v>0</v>
      </c>
      <c r="H16" s="83">
        <v>0</v>
      </c>
    </row>
    <row r="17" spans="1:8" ht="30" x14ac:dyDescent="0.25">
      <c r="A17" s="13">
        <v>10</v>
      </c>
      <c r="B17" s="62" t="s">
        <v>23</v>
      </c>
      <c r="C17" s="83">
        <v>30.853729999999999</v>
      </c>
      <c r="D17" s="83">
        <v>0</v>
      </c>
      <c r="E17" s="83">
        <v>0</v>
      </c>
      <c r="F17" s="83">
        <v>47.37677</v>
      </c>
      <c r="G17" s="83">
        <v>0</v>
      </c>
      <c r="H17" s="83">
        <v>0</v>
      </c>
    </row>
    <row r="18" spans="1:8" ht="30" x14ac:dyDescent="0.25">
      <c r="A18" s="13">
        <v>11</v>
      </c>
      <c r="B18" s="62" t="s">
        <v>24</v>
      </c>
      <c r="C18" s="83">
        <v>15.2</v>
      </c>
      <c r="D18" s="83">
        <v>0</v>
      </c>
      <c r="E18" s="83">
        <v>0</v>
      </c>
      <c r="F18" s="83">
        <v>111.5</v>
      </c>
      <c r="G18" s="83">
        <v>0</v>
      </c>
      <c r="H18" s="83">
        <v>0</v>
      </c>
    </row>
    <row r="19" spans="1:8" ht="30" x14ac:dyDescent="0.25">
      <c r="A19" s="13">
        <v>12</v>
      </c>
      <c r="B19" s="62" t="s">
        <v>25</v>
      </c>
      <c r="C19" s="83">
        <v>30.131509999999999</v>
      </c>
      <c r="D19" s="83">
        <v>0</v>
      </c>
      <c r="E19" s="83">
        <v>0</v>
      </c>
      <c r="F19" s="83">
        <v>131.29938999999999</v>
      </c>
      <c r="G19" s="83">
        <v>0</v>
      </c>
      <c r="H19" s="83">
        <v>0</v>
      </c>
    </row>
    <row r="20" spans="1:8" x14ac:dyDescent="0.25">
      <c r="A20" s="13">
        <v>13</v>
      </c>
      <c r="B20" s="62" t="s">
        <v>26</v>
      </c>
      <c r="C20" s="83">
        <v>145.67039</v>
      </c>
      <c r="D20" s="83">
        <v>0</v>
      </c>
      <c r="E20" s="83">
        <v>0</v>
      </c>
      <c r="F20" s="83">
        <v>59.134999999999998</v>
      </c>
      <c r="G20" s="83">
        <v>0</v>
      </c>
      <c r="H20" s="83">
        <v>0</v>
      </c>
    </row>
    <row r="21" spans="1:8" ht="30" x14ac:dyDescent="0.25">
      <c r="A21" s="13">
        <v>14</v>
      </c>
      <c r="B21" s="62" t="s">
        <v>27</v>
      </c>
      <c r="C21" s="83">
        <v>43.095820000000003</v>
      </c>
      <c r="D21" s="83">
        <v>0</v>
      </c>
      <c r="E21" s="83">
        <v>0</v>
      </c>
      <c r="F21" s="83">
        <v>23.254670000000001</v>
      </c>
      <c r="G21" s="83">
        <v>0</v>
      </c>
      <c r="H21" s="83">
        <v>0</v>
      </c>
    </row>
    <row r="22" spans="1:8" ht="30" x14ac:dyDescent="0.25">
      <c r="A22" s="13">
        <v>15</v>
      </c>
      <c r="B22" s="71" t="s">
        <v>160</v>
      </c>
      <c r="C22" s="83">
        <v>369.62556000000001</v>
      </c>
      <c r="D22" s="83">
        <v>0</v>
      </c>
      <c r="E22" s="83">
        <v>0</v>
      </c>
      <c r="F22" s="83">
        <v>0</v>
      </c>
      <c r="G22" s="83"/>
      <c r="H22" s="83"/>
    </row>
    <row r="23" spans="1:8" ht="30" x14ac:dyDescent="0.25">
      <c r="A23" s="13">
        <v>16</v>
      </c>
      <c r="B23" s="71" t="s">
        <v>28</v>
      </c>
      <c r="C23" s="83">
        <v>0</v>
      </c>
      <c r="D23" s="83">
        <v>0</v>
      </c>
      <c r="E23" s="83">
        <v>0</v>
      </c>
      <c r="F23" s="83">
        <v>35.825339999999997</v>
      </c>
      <c r="G23" s="83">
        <v>0</v>
      </c>
      <c r="H23" s="83">
        <v>0</v>
      </c>
    </row>
    <row r="24" spans="1:8" ht="30" x14ac:dyDescent="0.25">
      <c r="A24" s="13">
        <v>17</v>
      </c>
      <c r="B24" s="71" t="s">
        <v>29</v>
      </c>
      <c r="C24" s="83">
        <v>22.542719999999999</v>
      </c>
      <c r="D24" s="83">
        <v>0</v>
      </c>
      <c r="E24" s="83">
        <v>0</v>
      </c>
      <c r="F24" s="83">
        <v>66.457220000000007</v>
      </c>
      <c r="G24" s="83">
        <v>0</v>
      </c>
      <c r="H24" s="83">
        <v>0</v>
      </c>
    </row>
    <row r="25" spans="1:8" x14ac:dyDescent="0.25">
      <c r="A25" s="13">
        <v>18</v>
      </c>
      <c r="B25" s="71" t="s">
        <v>30</v>
      </c>
      <c r="C25" s="83">
        <v>108.48061</v>
      </c>
      <c r="D25" s="83">
        <v>0</v>
      </c>
      <c r="E25" s="83">
        <v>0</v>
      </c>
      <c r="F25" s="83">
        <v>30.094280000000001</v>
      </c>
      <c r="G25" s="83">
        <v>0</v>
      </c>
      <c r="H25" s="83">
        <v>0</v>
      </c>
    </row>
    <row r="26" spans="1:8" ht="30" x14ac:dyDescent="0.25">
      <c r="A26" s="13">
        <v>19</v>
      </c>
      <c r="B26" s="71" t="s">
        <v>31</v>
      </c>
      <c r="C26" s="83">
        <v>35.594000000000001</v>
      </c>
      <c r="D26" s="83">
        <v>0</v>
      </c>
      <c r="E26" s="83">
        <v>0</v>
      </c>
      <c r="F26" s="83">
        <v>27.74</v>
      </c>
      <c r="G26" s="83">
        <v>0</v>
      </c>
      <c r="H26" s="83">
        <v>0</v>
      </c>
    </row>
    <row r="27" spans="1:8" ht="30" x14ac:dyDescent="0.25">
      <c r="A27" s="13">
        <v>20</v>
      </c>
      <c r="B27" s="71" t="s">
        <v>32</v>
      </c>
      <c r="C27" s="83">
        <v>0</v>
      </c>
      <c r="D27" s="83">
        <v>0</v>
      </c>
      <c r="E27" s="83">
        <v>0</v>
      </c>
      <c r="F27" s="83">
        <v>60.263339999999999</v>
      </c>
      <c r="G27" s="83">
        <v>0</v>
      </c>
      <c r="H27" s="83">
        <v>0</v>
      </c>
    </row>
    <row r="28" spans="1:8" ht="30" x14ac:dyDescent="0.25">
      <c r="A28" s="13">
        <v>21</v>
      </c>
      <c r="B28" s="71" t="s">
        <v>33</v>
      </c>
      <c r="C28" s="83">
        <v>0</v>
      </c>
      <c r="D28" s="83">
        <v>0</v>
      </c>
      <c r="E28" s="83">
        <v>0</v>
      </c>
      <c r="F28" s="83">
        <v>2.7384499999999998</v>
      </c>
      <c r="G28" s="83">
        <v>0</v>
      </c>
      <c r="H28" s="83">
        <v>0</v>
      </c>
    </row>
    <row r="29" spans="1:8" ht="30" x14ac:dyDescent="0.25">
      <c r="A29" s="13">
        <v>22</v>
      </c>
      <c r="B29" s="71" t="s">
        <v>34</v>
      </c>
      <c r="C29" s="83">
        <v>35.368920000000003</v>
      </c>
      <c r="D29" s="83">
        <v>0</v>
      </c>
      <c r="E29" s="83">
        <v>0</v>
      </c>
      <c r="F29" s="83">
        <v>45.854680000000002</v>
      </c>
      <c r="G29" s="83">
        <v>0</v>
      </c>
      <c r="H29" s="83">
        <v>0</v>
      </c>
    </row>
    <row r="30" spans="1:8" x14ac:dyDescent="0.25">
      <c r="A30" s="13">
        <v>23</v>
      </c>
      <c r="B30" s="71" t="s">
        <v>35</v>
      </c>
      <c r="C30" s="83">
        <v>0</v>
      </c>
      <c r="D30" s="83">
        <v>0</v>
      </c>
      <c r="E30" s="83">
        <v>0</v>
      </c>
      <c r="F30" s="83">
        <v>4.7300000000000004</v>
      </c>
      <c r="G30" s="83">
        <v>0</v>
      </c>
      <c r="H30" s="83">
        <v>0</v>
      </c>
    </row>
    <row r="31" spans="1:8" x14ac:dyDescent="0.25">
      <c r="A31" s="13">
        <v>24</v>
      </c>
      <c r="B31" s="71" t="s">
        <v>36</v>
      </c>
      <c r="C31" s="83">
        <v>141.5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</row>
    <row r="32" spans="1:8" ht="30" x14ac:dyDescent="0.25">
      <c r="A32" s="13">
        <v>25</v>
      </c>
      <c r="B32" s="71" t="s">
        <v>37</v>
      </c>
      <c r="C32" s="83">
        <v>28.80076</v>
      </c>
      <c r="D32" s="83">
        <v>0</v>
      </c>
      <c r="E32" s="83">
        <v>0</v>
      </c>
      <c r="F32" s="83">
        <v>26.3125</v>
      </c>
      <c r="G32" s="83">
        <v>0</v>
      </c>
      <c r="H32" s="83">
        <v>0</v>
      </c>
    </row>
    <row r="33" spans="1:8" ht="30" x14ac:dyDescent="0.25">
      <c r="A33" s="13">
        <v>26</v>
      </c>
      <c r="B33" s="71" t="s">
        <v>38</v>
      </c>
      <c r="C33" s="83">
        <v>357.25166000000002</v>
      </c>
      <c r="D33" s="83">
        <v>0</v>
      </c>
      <c r="E33" s="83">
        <v>0</v>
      </c>
      <c r="F33" s="83">
        <v>41.678170000000001</v>
      </c>
      <c r="G33" s="83">
        <v>0</v>
      </c>
      <c r="H33" s="83">
        <v>0</v>
      </c>
    </row>
    <row r="34" spans="1:8" ht="30" x14ac:dyDescent="0.25">
      <c r="A34" s="13">
        <v>27</v>
      </c>
      <c r="B34" s="71" t="s">
        <v>39</v>
      </c>
      <c r="C34" s="83">
        <v>61.604019999999998</v>
      </c>
      <c r="D34" s="83">
        <v>0</v>
      </c>
      <c r="E34" s="83">
        <v>0</v>
      </c>
      <c r="F34" s="83">
        <v>9.8921399999999995</v>
      </c>
      <c r="G34" s="83">
        <v>0</v>
      </c>
      <c r="H34" s="83">
        <v>0</v>
      </c>
    </row>
    <row r="35" spans="1:8" x14ac:dyDescent="0.25">
      <c r="A35" s="13">
        <v>28</v>
      </c>
      <c r="B35" s="71" t="s">
        <v>40</v>
      </c>
      <c r="C35" s="83">
        <v>118.78270000000001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</row>
    <row r="36" spans="1:8" ht="30" x14ac:dyDescent="0.25">
      <c r="A36" s="13">
        <v>29</v>
      </c>
      <c r="B36" s="71" t="s">
        <v>41</v>
      </c>
      <c r="C36" s="83">
        <v>11.99011</v>
      </c>
      <c r="D36" s="83">
        <v>0</v>
      </c>
      <c r="E36" s="83">
        <v>0</v>
      </c>
      <c r="F36" s="83">
        <v>9.49315</v>
      </c>
      <c r="G36" s="83">
        <v>0</v>
      </c>
      <c r="H36" s="83">
        <v>0</v>
      </c>
    </row>
    <row r="37" spans="1:8" ht="30" x14ac:dyDescent="0.25">
      <c r="A37" s="13">
        <v>30</v>
      </c>
      <c r="B37" s="71" t="s">
        <v>42</v>
      </c>
      <c r="C37" s="83">
        <v>4.2</v>
      </c>
      <c r="D37" s="83">
        <v>0</v>
      </c>
      <c r="E37" s="83">
        <v>0</v>
      </c>
      <c r="F37" s="83">
        <v>27.8</v>
      </c>
      <c r="G37" s="83">
        <v>0</v>
      </c>
      <c r="H37" s="83">
        <v>0</v>
      </c>
    </row>
    <row r="38" spans="1:8" ht="30" x14ac:dyDescent="0.25">
      <c r="A38" s="13">
        <v>31</v>
      </c>
      <c r="B38" s="71" t="s">
        <v>43</v>
      </c>
      <c r="C38" s="83">
        <v>0</v>
      </c>
      <c r="D38" s="83">
        <v>0</v>
      </c>
      <c r="E38" s="83">
        <v>0</v>
      </c>
      <c r="F38" s="83">
        <v>10.842420000000001</v>
      </c>
      <c r="G38" s="83">
        <v>0</v>
      </c>
      <c r="H38" s="83">
        <v>0</v>
      </c>
    </row>
    <row r="39" spans="1:8" ht="30" x14ac:dyDescent="0.25">
      <c r="A39" s="13">
        <v>32</v>
      </c>
      <c r="B39" s="71" t="s">
        <v>44</v>
      </c>
      <c r="C39" s="83">
        <v>112.78243000000001</v>
      </c>
      <c r="D39" s="83">
        <v>0</v>
      </c>
      <c r="E39" s="83">
        <v>0</v>
      </c>
      <c r="F39" s="83">
        <v>73.476619999999997</v>
      </c>
      <c r="G39" s="83">
        <v>0</v>
      </c>
      <c r="H39" s="83">
        <v>0</v>
      </c>
    </row>
    <row r="40" spans="1:8" ht="30" x14ac:dyDescent="0.25">
      <c r="A40" s="13">
        <v>33</v>
      </c>
      <c r="B40" s="71" t="s">
        <v>45</v>
      </c>
      <c r="C40" s="83">
        <v>1.9939499999999999</v>
      </c>
      <c r="D40" s="83">
        <v>0</v>
      </c>
      <c r="E40" s="83">
        <v>0</v>
      </c>
      <c r="F40" s="83">
        <v>61.427480000000003</v>
      </c>
      <c r="G40" s="83">
        <v>0</v>
      </c>
      <c r="H40" s="83">
        <v>0</v>
      </c>
    </row>
    <row r="41" spans="1:8" ht="30" x14ac:dyDescent="0.25">
      <c r="A41" s="13">
        <v>34</v>
      </c>
      <c r="B41" s="71" t="s">
        <v>46</v>
      </c>
      <c r="C41" s="83">
        <v>20.2</v>
      </c>
      <c r="D41" s="83">
        <v>0</v>
      </c>
      <c r="E41" s="83">
        <v>0</v>
      </c>
      <c r="F41" s="83">
        <v>0.5</v>
      </c>
      <c r="G41" s="83">
        <v>0</v>
      </c>
      <c r="H41" s="83">
        <v>0</v>
      </c>
    </row>
    <row r="42" spans="1:8" ht="30" x14ac:dyDescent="0.25">
      <c r="A42" s="13">
        <v>35</v>
      </c>
      <c r="B42" s="62" t="s">
        <v>47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3">
        <v>0</v>
      </c>
    </row>
    <row r="43" spans="1:8" x14ac:dyDescent="0.25">
      <c r="A43" s="13">
        <v>36</v>
      </c>
      <c r="B43" s="62" t="s">
        <v>48</v>
      </c>
      <c r="C43" s="83">
        <v>0</v>
      </c>
      <c r="D43" s="83">
        <v>0</v>
      </c>
      <c r="E43" s="83">
        <v>0</v>
      </c>
      <c r="F43" s="83">
        <v>40.93</v>
      </c>
      <c r="G43" s="83">
        <v>0</v>
      </c>
      <c r="H43" s="83">
        <v>0</v>
      </c>
    </row>
    <row r="44" spans="1:8" ht="30" x14ac:dyDescent="0.25">
      <c r="A44" s="13">
        <v>37</v>
      </c>
      <c r="B44" s="62" t="s">
        <v>49</v>
      </c>
      <c r="C44" s="83">
        <v>0</v>
      </c>
      <c r="D44" s="83">
        <v>0</v>
      </c>
      <c r="E44" s="83">
        <v>0</v>
      </c>
      <c r="F44" s="83">
        <v>299.69170000000003</v>
      </c>
      <c r="G44" s="83">
        <v>0</v>
      </c>
      <c r="H44" s="83">
        <v>0</v>
      </c>
    </row>
    <row r="45" spans="1:8" ht="30" x14ac:dyDescent="0.25">
      <c r="A45" s="13">
        <v>38</v>
      </c>
      <c r="B45" s="62" t="s">
        <v>50</v>
      </c>
      <c r="C45" s="83">
        <v>0</v>
      </c>
      <c r="D45" s="83">
        <v>0</v>
      </c>
      <c r="E45" s="83">
        <v>0</v>
      </c>
      <c r="F45" s="83">
        <v>125.17083</v>
      </c>
      <c r="G45" s="83">
        <v>0</v>
      </c>
      <c r="H45" s="83">
        <v>0</v>
      </c>
    </row>
    <row r="46" spans="1:8" x14ac:dyDescent="0.25">
      <c r="A46" s="13">
        <v>39</v>
      </c>
      <c r="B46" s="62" t="s">
        <v>51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</row>
    <row r="47" spans="1:8" ht="30" x14ac:dyDescent="0.25">
      <c r="A47" s="13">
        <v>40</v>
      </c>
      <c r="B47" s="62" t="s">
        <v>52</v>
      </c>
      <c r="C47" s="83">
        <v>20.58379</v>
      </c>
      <c r="D47" s="83">
        <v>0</v>
      </c>
      <c r="E47" s="83">
        <v>0</v>
      </c>
      <c r="F47" s="83">
        <v>57.53707</v>
      </c>
      <c r="G47" s="83">
        <v>0</v>
      </c>
      <c r="H47" s="83">
        <v>0</v>
      </c>
    </row>
    <row r="48" spans="1:8" x14ac:dyDescent="0.25">
      <c r="A48" s="13">
        <v>41</v>
      </c>
      <c r="B48" s="62" t="s">
        <v>53</v>
      </c>
      <c r="C48" s="83">
        <v>149.70340999999999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</row>
    <row r="49" spans="1:8" x14ac:dyDescent="0.25">
      <c r="A49" s="13">
        <v>42</v>
      </c>
      <c r="B49" s="62" t="s">
        <v>54</v>
      </c>
      <c r="C49" s="83">
        <v>119.5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</row>
    <row r="50" spans="1:8" ht="30" x14ac:dyDescent="0.25">
      <c r="A50" s="13">
        <v>43</v>
      </c>
      <c r="B50" s="62" t="s">
        <v>55</v>
      </c>
      <c r="C50" s="83">
        <v>0</v>
      </c>
      <c r="D50" s="83">
        <v>0</v>
      </c>
      <c r="E50" s="83">
        <v>0</v>
      </c>
      <c r="F50" s="83">
        <v>0.9</v>
      </c>
      <c r="G50" s="83">
        <v>0</v>
      </c>
      <c r="H50" s="83">
        <v>0</v>
      </c>
    </row>
    <row r="51" spans="1:8" x14ac:dyDescent="0.25">
      <c r="A51" s="13">
        <v>44</v>
      </c>
      <c r="B51" s="62" t="s">
        <v>56</v>
      </c>
      <c r="C51" s="83">
        <v>29.980219999999999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</row>
    <row r="52" spans="1:8" ht="30" x14ac:dyDescent="0.25">
      <c r="A52" s="13">
        <v>45</v>
      </c>
      <c r="B52" s="62" t="s">
        <v>57</v>
      </c>
      <c r="C52" s="83">
        <v>131.578</v>
      </c>
      <c r="D52" s="83">
        <v>0</v>
      </c>
      <c r="E52" s="83">
        <v>0</v>
      </c>
      <c r="F52" s="83">
        <v>20.933</v>
      </c>
      <c r="G52" s="83">
        <v>0</v>
      </c>
      <c r="H52" s="83">
        <v>0</v>
      </c>
    </row>
    <row r="53" spans="1:8" x14ac:dyDescent="0.25">
      <c r="A53" s="13">
        <v>46</v>
      </c>
      <c r="B53" s="62" t="s">
        <v>58</v>
      </c>
      <c r="C53" s="83">
        <v>12.09253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</row>
    <row r="54" spans="1:8" ht="30" x14ac:dyDescent="0.25">
      <c r="A54" s="13">
        <v>47</v>
      </c>
      <c r="B54" s="62" t="s">
        <v>59</v>
      </c>
      <c r="C54" s="83">
        <v>11.776289999999999</v>
      </c>
      <c r="D54" s="83">
        <v>0</v>
      </c>
      <c r="E54" s="83">
        <v>0</v>
      </c>
      <c r="F54" s="83">
        <v>38.424810000000001</v>
      </c>
      <c r="G54" s="83">
        <v>0</v>
      </c>
      <c r="H54" s="83">
        <v>0</v>
      </c>
    </row>
    <row r="55" spans="1:8" ht="30" x14ac:dyDescent="0.25">
      <c r="A55" s="13">
        <v>48</v>
      </c>
      <c r="B55" s="62" t="s">
        <v>60</v>
      </c>
      <c r="C55" s="83">
        <v>0</v>
      </c>
      <c r="D55" s="83">
        <v>0</v>
      </c>
      <c r="E55" s="83">
        <v>0</v>
      </c>
      <c r="F55" s="83">
        <v>100.97716</v>
      </c>
      <c r="G55" s="83">
        <v>0</v>
      </c>
      <c r="H55" s="83">
        <v>0</v>
      </c>
    </row>
    <row r="56" spans="1:8" ht="30" x14ac:dyDescent="0.25">
      <c r="A56" s="13">
        <v>49</v>
      </c>
      <c r="B56" s="62" t="s">
        <v>61</v>
      </c>
      <c r="C56" s="83">
        <v>256.73378000000002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</row>
    <row r="57" spans="1:8" x14ac:dyDescent="0.25">
      <c r="A57" s="13">
        <v>50</v>
      </c>
      <c r="B57" s="62" t="s">
        <v>62</v>
      </c>
      <c r="C57" s="83">
        <v>98.542820000000006</v>
      </c>
      <c r="D57" s="83">
        <v>0</v>
      </c>
      <c r="E57" s="83">
        <v>0</v>
      </c>
      <c r="F57" s="83">
        <v>41.511800000000001</v>
      </c>
      <c r="G57" s="83">
        <v>0</v>
      </c>
      <c r="H57" s="83">
        <v>0</v>
      </c>
    </row>
    <row r="58" spans="1:8" x14ac:dyDescent="0.25">
      <c r="A58" s="13">
        <v>51</v>
      </c>
      <c r="B58" s="62" t="s">
        <v>63</v>
      </c>
      <c r="C58" s="83">
        <v>274.60000000000002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</row>
    <row r="59" spans="1:8" ht="30" x14ac:dyDescent="0.25">
      <c r="A59" s="13">
        <v>52</v>
      </c>
      <c r="B59" s="62" t="s">
        <v>64</v>
      </c>
      <c r="C59" s="83">
        <v>0</v>
      </c>
      <c r="D59" s="83">
        <v>0</v>
      </c>
      <c r="E59" s="83">
        <v>0</v>
      </c>
      <c r="F59" s="83">
        <v>21.777930000000001</v>
      </c>
      <c r="G59" s="83">
        <v>0</v>
      </c>
      <c r="H59" s="83">
        <v>0</v>
      </c>
    </row>
    <row r="60" spans="1:8" x14ac:dyDescent="0.25">
      <c r="A60" s="13">
        <v>53</v>
      </c>
      <c r="B60" s="62" t="s">
        <v>65</v>
      </c>
      <c r="C60" s="83">
        <v>15.311999999999999</v>
      </c>
      <c r="D60" s="83">
        <v>0</v>
      </c>
      <c r="E60" s="83">
        <v>0</v>
      </c>
      <c r="F60" s="83">
        <v>72.110640000000004</v>
      </c>
      <c r="G60" s="83">
        <v>0</v>
      </c>
      <c r="H60" s="83">
        <v>0</v>
      </c>
    </row>
    <row r="61" spans="1:8" ht="30" x14ac:dyDescent="0.25">
      <c r="A61" s="13">
        <v>54</v>
      </c>
      <c r="B61" s="62" t="s">
        <v>66</v>
      </c>
      <c r="C61" s="83">
        <v>27.56</v>
      </c>
      <c r="D61" s="83">
        <v>0</v>
      </c>
      <c r="E61" s="83">
        <v>0</v>
      </c>
      <c r="F61" s="83">
        <v>39.82</v>
      </c>
      <c r="G61" s="83">
        <v>0</v>
      </c>
      <c r="H61" s="83">
        <v>0</v>
      </c>
    </row>
    <row r="62" spans="1:8" ht="30" x14ac:dyDescent="0.25">
      <c r="A62" s="13">
        <v>55</v>
      </c>
      <c r="B62" s="62" t="s">
        <v>67</v>
      </c>
      <c r="C62" s="83">
        <v>0.13589999999999999</v>
      </c>
      <c r="D62" s="83">
        <v>0</v>
      </c>
      <c r="E62" s="83">
        <v>0</v>
      </c>
      <c r="F62" s="83">
        <v>36.956389999999999</v>
      </c>
      <c r="G62" s="83">
        <v>0</v>
      </c>
      <c r="H62" s="83">
        <v>0</v>
      </c>
    </row>
    <row r="63" spans="1:8" x14ac:dyDescent="0.25">
      <c r="A63" s="13">
        <v>56</v>
      </c>
      <c r="B63" s="62" t="s">
        <v>68</v>
      </c>
      <c r="C63" s="83">
        <v>12.942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</row>
    <row r="64" spans="1:8" ht="30" x14ac:dyDescent="0.25">
      <c r="A64" s="13">
        <v>57</v>
      </c>
      <c r="B64" s="62" t="s">
        <v>69</v>
      </c>
      <c r="C64" s="83">
        <v>1.94936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</row>
    <row r="65" spans="1:8" x14ac:dyDescent="0.25">
      <c r="A65" s="13">
        <v>58</v>
      </c>
      <c r="B65" s="62" t="s">
        <v>70</v>
      </c>
      <c r="C65" s="83">
        <v>0</v>
      </c>
      <c r="D65" s="83">
        <v>0</v>
      </c>
      <c r="E65" s="83">
        <v>0</v>
      </c>
      <c r="F65" s="83">
        <v>11.192069999999999</v>
      </c>
      <c r="G65" s="83">
        <v>0</v>
      </c>
      <c r="H65" s="83">
        <v>0</v>
      </c>
    </row>
    <row r="66" spans="1:8" x14ac:dyDescent="0.25">
      <c r="A66" s="13">
        <v>59</v>
      </c>
      <c r="B66" s="62" t="s">
        <v>71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</row>
    <row r="67" spans="1:8" x14ac:dyDescent="0.25">
      <c r="A67" s="13">
        <v>60</v>
      </c>
      <c r="B67" s="62" t="s">
        <v>72</v>
      </c>
      <c r="C67" s="83">
        <v>0</v>
      </c>
      <c r="D67" s="83">
        <v>0</v>
      </c>
      <c r="E67" s="83">
        <v>0</v>
      </c>
      <c r="F67" s="83">
        <v>3.083E-2</v>
      </c>
      <c r="G67" s="83">
        <v>0</v>
      </c>
      <c r="H67" s="83">
        <v>0</v>
      </c>
    </row>
    <row r="68" spans="1:8" x14ac:dyDescent="0.25">
      <c r="A68" s="13">
        <v>61</v>
      </c>
      <c r="B68" s="62" t="s">
        <v>73</v>
      </c>
      <c r="C68" s="83">
        <v>0</v>
      </c>
      <c r="D68" s="83">
        <v>0</v>
      </c>
      <c r="E68" s="83">
        <v>0</v>
      </c>
      <c r="F68" s="83">
        <v>0.86773</v>
      </c>
      <c r="G68" s="83">
        <v>0</v>
      </c>
      <c r="H68" s="83">
        <v>0</v>
      </c>
    </row>
    <row r="69" spans="1:8" x14ac:dyDescent="0.25">
      <c r="A69" s="13">
        <v>62</v>
      </c>
      <c r="B69" s="62" t="s">
        <v>74</v>
      </c>
      <c r="C69" s="83">
        <v>0</v>
      </c>
      <c r="D69" s="83">
        <v>0</v>
      </c>
      <c r="E69" s="83">
        <v>0</v>
      </c>
      <c r="F69" s="83">
        <v>0.88414999999999999</v>
      </c>
      <c r="G69" s="83">
        <v>0</v>
      </c>
      <c r="H69" s="83">
        <v>0</v>
      </c>
    </row>
    <row r="70" spans="1:8" ht="30" x14ac:dyDescent="0.25">
      <c r="A70" s="13">
        <v>63</v>
      </c>
      <c r="B70" s="62" t="s">
        <v>75</v>
      </c>
      <c r="C70" s="83">
        <v>0</v>
      </c>
      <c r="D70" s="83">
        <v>0</v>
      </c>
      <c r="E70" s="83">
        <v>0</v>
      </c>
      <c r="F70" s="83">
        <v>9.7000000000000003E-3</v>
      </c>
      <c r="G70" s="83">
        <v>0</v>
      </c>
      <c r="H70" s="83">
        <v>0</v>
      </c>
    </row>
    <row r="71" spans="1:8" x14ac:dyDescent="0.25">
      <c r="A71" s="13">
        <v>64</v>
      </c>
      <c r="B71" s="62" t="s">
        <v>76</v>
      </c>
      <c r="C71" s="83">
        <v>1.45516</v>
      </c>
      <c r="D71" s="83">
        <v>0</v>
      </c>
      <c r="E71" s="83">
        <v>0</v>
      </c>
      <c r="F71" s="83">
        <v>57.359650000000002</v>
      </c>
      <c r="G71" s="83">
        <v>0</v>
      </c>
      <c r="H71" s="83">
        <v>0</v>
      </c>
    </row>
    <row r="72" spans="1:8" ht="30" x14ac:dyDescent="0.25">
      <c r="A72" s="13">
        <v>65</v>
      </c>
      <c r="B72" s="62" t="s">
        <v>77</v>
      </c>
      <c r="C72" s="83">
        <v>2.4665900000000001</v>
      </c>
      <c r="D72" s="83">
        <v>0</v>
      </c>
      <c r="E72" s="83">
        <v>0</v>
      </c>
      <c r="F72" s="83">
        <v>2.6825199999999998</v>
      </c>
      <c r="G72" s="83">
        <v>0</v>
      </c>
      <c r="H72" s="83">
        <v>0</v>
      </c>
    </row>
    <row r="73" spans="1:8" x14ac:dyDescent="0.25">
      <c r="A73" s="13">
        <v>66</v>
      </c>
      <c r="B73" s="62" t="s">
        <v>78</v>
      </c>
      <c r="C73" s="83">
        <v>0</v>
      </c>
      <c r="D73" s="83">
        <v>0</v>
      </c>
      <c r="E73" s="83">
        <v>0</v>
      </c>
      <c r="F73" s="83">
        <v>1.6914100000000001</v>
      </c>
      <c r="G73" s="83">
        <v>0</v>
      </c>
      <c r="H73" s="83">
        <v>0</v>
      </c>
    </row>
    <row r="74" spans="1:8" ht="60" x14ac:dyDescent="0.25">
      <c r="A74" s="13">
        <v>67</v>
      </c>
      <c r="B74" s="62" t="s">
        <v>149</v>
      </c>
      <c r="C74" s="44">
        <v>2.17</v>
      </c>
      <c r="D74" s="44">
        <v>0</v>
      </c>
      <c r="E74" s="44">
        <v>0</v>
      </c>
      <c r="F74" s="44">
        <v>23.38</v>
      </c>
      <c r="G74" s="19">
        <v>0</v>
      </c>
      <c r="H74" s="19">
        <v>0</v>
      </c>
    </row>
    <row r="75" spans="1:8" ht="45" x14ac:dyDescent="0.25">
      <c r="A75" s="13">
        <v>68</v>
      </c>
      <c r="B75" s="62" t="s">
        <v>144</v>
      </c>
      <c r="C75" s="45">
        <v>5.07</v>
      </c>
      <c r="D75" s="44">
        <v>0</v>
      </c>
      <c r="E75" s="44">
        <v>0</v>
      </c>
      <c r="F75" s="44">
        <v>0</v>
      </c>
      <c r="G75" s="19">
        <v>0</v>
      </c>
      <c r="H75" s="19">
        <v>0</v>
      </c>
    </row>
    <row r="76" spans="1:8" ht="60" x14ac:dyDescent="0.25">
      <c r="A76" s="13">
        <v>69</v>
      </c>
      <c r="B76" s="62" t="s">
        <v>145</v>
      </c>
      <c r="C76" s="44">
        <v>41.3</v>
      </c>
      <c r="D76" s="44">
        <v>0</v>
      </c>
      <c r="E76" s="44">
        <v>0</v>
      </c>
      <c r="F76" s="44">
        <v>5.55</v>
      </c>
      <c r="G76" s="19">
        <v>0</v>
      </c>
      <c r="H76" s="19">
        <v>0</v>
      </c>
    </row>
    <row r="77" spans="1:8" ht="45" x14ac:dyDescent="0.25">
      <c r="A77" s="13">
        <v>70</v>
      </c>
      <c r="B77" s="62" t="s">
        <v>146</v>
      </c>
      <c r="C77" s="44">
        <v>33.090000000000003</v>
      </c>
      <c r="D77" s="44">
        <v>0</v>
      </c>
      <c r="E77" s="44">
        <v>0</v>
      </c>
      <c r="F77" s="44">
        <v>4.7</v>
      </c>
      <c r="G77" s="19">
        <v>0</v>
      </c>
      <c r="H77" s="19">
        <v>0</v>
      </c>
    </row>
    <row r="78" spans="1:8" ht="60" x14ac:dyDescent="0.25">
      <c r="A78" s="13">
        <v>71</v>
      </c>
      <c r="B78" s="62" t="s">
        <v>147</v>
      </c>
      <c r="C78" s="45">
        <v>48.17</v>
      </c>
      <c r="D78" s="44">
        <v>0</v>
      </c>
      <c r="E78" s="44">
        <v>0</v>
      </c>
      <c r="F78" s="45">
        <v>27.33</v>
      </c>
      <c r="G78" s="19">
        <v>0</v>
      </c>
      <c r="H78" s="19">
        <v>0</v>
      </c>
    </row>
    <row r="79" spans="1:8" x14ac:dyDescent="0.25">
      <c r="A79" s="13">
        <v>72</v>
      </c>
      <c r="B79" s="62" t="s">
        <v>148</v>
      </c>
      <c r="C79" s="44">
        <v>0</v>
      </c>
      <c r="D79" s="44">
        <v>0</v>
      </c>
      <c r="E79" s="44">
        <v>0</v>
      </c>
      <c r="F79" s="44">
        <v>0</v>
      </c>
      <c r="G79" s="19">
        <v>0</v>
      </c>
      <c r="H79" s="19">
        <v>0</v>
      </c>
    </row>
    <row r="80" spans="1:8" x14ac:dyDescent="0.25">
      <c r="A80" s="12"/>
      <c r="B80" s="16" t="s">
        <v>130</v>
      </c>
      <c r="C80" s="46">
        <f t="shared" ref="C80:H80" si="0">SUM(C8:C79)</f>
        <v>3641.416560000001</v>
      </c>
      <c r="D80" s="46">
        <f t="shared" si="0"/>
        <v>0</v>
      </c>
      <c r="E80" s="46">
        <f t="shared" si="0"/>
        <v>0</v>
      </c>
      <c r="F80" s="46">
        <f t="shared" si="0"/>
        <v>2305.1722799999998</v>
      </c>
      <c r="G80" s="20">
        <f t="shared" si="0"/>
        <v>0</v>
      </c>
      <c r="H80" s="20">
        <f t="shared" si="0"/>
        <v>0</v>
      </c>
    </row>
    <row r="81" spans="3:6" hidden="1" x14ac:dyDescent="0.25">
      <c r="C81" s="63">
        <v>129.80000000000001</v>
      </c>
      <c r="F81" s="63">
        <v>60.96</v>
      </c>
    </row>
    <row r="82" spans="3:6" hidden="1" x14ac:dyDescent="0.25">
      <c r="C82" s="63">
        <f>3511.61656+C81-C80</f>
        <v>0</v>
      </c>
      <c r="F82" s="63">
        <f>2244.21228+F81-F80</f>
        <v>0</v>
      </c>
    </row>
  </sheetData>
  <mergeCells count="10">
    <mergeCell ref="A5:A7"/>
    <mergeCell ref="B5:B7"/>
    <mergeCell ref="C5:E5"/>
    <mergeCell ref="F5:G5"/>
    <mergeCell ref="B2:G2"/>
    <mergeCell ref="H5:H7"/>
    <mergeCell ref="C6:C7"/>
    <mergeCell ref="D6:E6"/>
    <mergeCell ref="F6:F7"/>
    <mergeCell ref="G6:G7"/>
  </mergeCells>
  <pageMargins left="0.23622047244094491" right="0.23622047244094491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Форма 1</vt:lpstr>
      <vt:lpstr>Форма 2 </vt:lpstr>
      <vt:lpstr>Форма 3</vt:lpstr>
      <vt:lpstr>Форма 4</vt:lpstr>
      <vt:lpstr>Форма 5</vt:lpstr>
      <vt:lpstr>Форма 6</vt:lpstr>
      <vt:lpstr>'Форма 1'!Заголовки_для_печати</vt:lpstr>
      <vt:lpstr>'Форма 2 '!Заголовки_для_печати</vt:lpstr>
      <vt:lpstr>'Форма 3'!Заголовки_для_печати</vt:lpstr>
      <vt:lpstr>'Форма 4'!Заголовки_для_печати</vt:lpstr>
      <vt:lpstr>'Форма 5'!Заголовки_для_печати</vt:lpstr>
      <vt:lpstr>'Форма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МОУ</dc:creator>
  <cp:lastModifiedBy>Иван Шевелев</cp:lastModifiedBy>
  <cp:lastPrinted>2016-06-08T10:39:30Z</cp:lastPrinted>
  <dcterms:created xsi:type="dcterms:W3CDTF">2014-02-26T03:24:40Z</dcterms:created>
  <dcterms:modified xsi:type="dcterms:W3CDTF">2016-06-08T10:39:34Z</dcterms:modified>
</cp:coreProperties>
</file>